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drawings/drawing7.xml" ContentType="application/vnd.openxmlformats-officedocument.drawing+xml"/>
  <Override PartName="/xl/comments5.xml" ContentType="application/vnd.openxmlformats-officedocument.spreadsheetml.comment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02 Competition and internship\Tokyo Summer School 2019\"/>
    </mc:Choice>
  </mc:AlternateContent>
  <bookViews>
    <workbookView xWindow="0" yWindow="0" windowWidth="10020" windowHeight="7515"/>
  </bookViews>
  <sheets>
    <sheet name="Current" sheetId="1" r:id="rId1"/>
    <sheet name="SCENARIO 1" sheetId="4" r:id="rId2"/>
    <sheet name="Comparison" sheetId="8" r:id="rId3"/>
    <sheet name="SCENARIO 2" sheetId="5" r:id="rId4"/>
    <sheet name="SCENARIO 3" sheetId="6" r:id="rId5"/>
    <sheet name="SCENARIO 4" sheetId="7" r:id="rId6"/>
    <sheet name="Sheet2" sheetId="2" r:id="rId7"/>
    <sheet name="Sheet3" sheetId="3" r:id="rId8"/>
    <sheet name="Sheet1" sheetId="9" r:id="rId9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8" l="1"/>
  <c r="L23" i="8"/>
  <c r="L22" i="8"/>
  <c r="L21" i="8"/>
  <c r="J24" i="8"/>
  <c r="J23" i="8"/>
  <c r="J22" i="8"/>
  <c r="J21" i="8"/>
  <c r="H24" i="8"/>
  <c r="H23" i="8"/>
  <c r="H22" i="8"/>
  <c r="H21" i="8"/>
  <c r="F24" i="8"/>
  <c r="F23" i="8"/>
  <c r="F22" i="8"/>
  <c r="F21" i="8"/>
  <c r="D24" i="8"/>
  <c r="D23" i="8"/>
  <c r="D22" i="8"/>
  <c r="D21" i="8"/>
  <c r="AI19" i="4"/>
  <c r="AI20" i="4"/>
  <c r="AI21" i="4"/>
  <c r="AI22" i="4"/>
  <c r="AC19" i="4"/>
  <c r="AC20" i="4"/>
  <c r="AC21" i="4"/>
  <c r="AC22" i="4"/>
  <c r="W19" i="4"/>
  <c r="W20" i="4"/>
  <c r="W21" i="4"/>
  <c r="W22" i="4"/>
  <c r="Q19" i="4"/>
  <c r="Q20" i="4"/>
  <c r="Q21" i="4"/>
  <c r="Q22" i="4"/>
  <c r="K19" i="4"/>
  <c r="K20" i="4"/>
  <c r="K21" i="4"/>
  <c r="K22" i="4"/>
  <c r="AM20" i="5"/>
  <c r="AM21" i="5"/>
  <c r="AM22" i="5"/>
  <c r="AM23" i="5"/>
  <c r="AF20" i="5"/>
  <c r="AF21" i="5"/>
  <c r="AF22" i="5"/>
  <c r="AF23" i="5"/>
  <c r="Y20" i="5"/>
  <c r="Y21" i="5"/>
  <c r="Y22" i="5"/>
  <c r="Y23" i="5"/>
  <c r="R20" i="5"/>
  <c r="R21" i="5"/>
  <c r="R22" i="5"/>
  <c r="R23" i="5"/>
  <c r="K20" i="5"/>
  <c r="K21" i="5"/>
  <c r="K22" i="5"/>
  <c r="K23" i="5"/>
  <c r="AM20" i="6"/>
  <c r="AM21" i="6"/>
  <c r="AM22" i="6"/>
  <c r="AM23" i="6"/>
  <c r="AF19" i="6"/>
  <c r="AF20" i="6"/>
  <c r="AF21" i="6"/>
  <c r="AF22" i="6"/>
  <c r="AF23" i="6"/>
  <c r="Y20" i="6"/>
  <c r="Y21" i="6"/>
  <c r="Y22" i="6"/>
  <c r="Y23" i="6"/>
  <c r="R20" i="6"/>
  <c r="R21" i="6"/>
  <c r="R22" i="6"/>
  <c r="R23" i="6"/>
  <c r="K20" i="6"/>
  <c r="K21" i="6"/>
  <c r="K22" i="6"/>
  <c r="K23" i="6"/>
  <c r="AM20" i="7"/>
  <c r="AM21" i="7"/>
  <c r="AM22" i="7"/>
  <c r="AM23" i="7"/>
  <c r="AF20" i="7"/>
  <c r="AF21" i="7"/>
  <c r="AF22" i="7"/>
  <c r="AF23" i="7"/>
  <c r="Y20" i="7"/>
  <c r="Y21" i="7"/>
  <c r="Y22" i="7"/>
  <c r="Y23" i="7"/>
  <c r="K20" i="7"/>
  <c r="K21" i="7"/>
  <c r="K22" i="7"/>
  <c r="K23" i="7"/>
  <c r="R20" i="7"/>
  <c r="R21" i="7"/>
  <c r="R22" i="7"/>
  <c r="R23" i="7"/>
  <c r="AI19" i="7"/>
  <c r="AI18" i="7"/>
  <c r="AI17" i="7"/>
  <c r="AI16" i="7"/>
  <c r="AI15" i="7"/>
  <c r="AI14" i="7"/>
  <c r="AI13" i="7"/>
  <c r="AI12" i="7"/>
  <c r="AI11" i="7"/>
  <c r="AI10" i="7"/>
  <c r="AI9" i="7"/>
  <c r="AI8" i="7"/>
  <c r="AI7" i="7"/>
  <c r="AI6" i="7"/>
  <c r="AI5" i="7"/>
  <c r="AJ16" i="7"/>
  <c r="AL16" i="7" s="1"/>
  <c r="AJ12" i="7"/>
  <c r="AJ8" i="7"/>
  <c r="AL8" i="7" s="1"/>
  <c r="AG10" i="7"/>
  <c r="AG19" i="7"/>
  <c r="AG18" i="7"/>
  <c r="AG17" i="7"/>
  <c r="AG16" i="7"/>
  <c r="AG15" i="7"/>
  <c r="AG14" i="7"/>
  <c r="AG13" i="7"/>
  <c r="AG12" i="7"/>
  <c r="AG11" i="7"/>
  <c r="AG9" i="7"/>
  <c r="AG8" i="7"/>
  <c r="AG7" i="7"/>
  <c r="AG6" i="7"/>
  <c r="AG5" i="7"/>
  <c r="AB19" i="7"/>
  <c r="AB18" i="7"/>
  <c r="AB17" i="7"/>
  <c r="AB16" i="7"/>
  <c r="AB15" i="7"/>
  <c r="AB14" i="7"/>
  <c r="AB13" i="7"/>
  <c r="AB12" i="7"/>
  <c r="AB11" i="7"/>
  <c r="AB10" i="7"/>
  <c r="AB9" i="7"/>
  <c r="AB8" i="7"/>
  <c r="AB7" i="7"/>
  <c r="AB6" i="7"/>
  <c r="AB5" i="7"/>
  <c r="AC8" i="7"/>
  <c r="AE8" i="7" s="1"/>
  <c r="U19" i="7"/>
  <c r="U18" i="7"/>
  <c r="U17" i="7"/>
  <c r="U16" i="7"/>
  <c r="U15" i="7"/>
  <c r="U14" i="7"/>
  <c r="U13" i="7"/>
  <c r="U12" i="7"/>
  <c r="V12" i="7" s="1"/>
  <c r="U11" i="7"/>
  <c r="U10" i="7"/>
  <c r="U9" i="7"/>
  <c r="U8" i="7"/>
  <c r="U7" i="7"/>
  <c r="U6" i="7"/>
  <c r="U5" i="7"/>
  <c r="Z5" i="7"/>
  <c r="Z19" i="7"/>
  <c r="Z18" i="7"/>
  <c r="Z17" i="7"/>
  <c r="Z16" i="7"/>
  <c r="Z15" i="7"/>
  <c r="Z14" i="7"/>
  <c r="Z13" i="7"/>
  <c r="Z12" i="7"/>
  <c r="Z11" i="7"/>
  <c r="Z10" i="7"/>
  <c r="Z9" i="7"/>
  <c r="Z8" i="7"/>
  <c r="Z7" i="7"/>
  <c r="Z6" i="7"/>
  <c r="S12" i="7"/>
  <c r="S13" i="7"/>
  <c r="S11" i="7"/>
  <c r="S9" i="7"/>
  <c r="S10" i="7"/>
  <c r="S8" i="7"/>
  <c r="S6" i="7"/>
  <c r="S7" i="7"/>
  <c r="S14" i="7"/>
  <c r="S15" i="7"/>
  <c r="S16" i="7"/>
  <c r="S17" i="7"/>
  <c r="S18" i="7"/>
  <c r="S19" i="7"/>
  <c r="S5" i="7"/>
  <c r="L9" i="7"/>
  <c r="L10" i="7"/>
  <c r="L8" i="7"/>
  <c r="L12" i="7"/>
  <c r="L13" i="7"/>
  <c r="L11" i="7"/>
  <c r="L6" i="7"/>
  <c r="L7" i="7"/>
  <c r="N9" i="7"/>
  <c r="O9" i="7" s="1"/>
  <c r="Q9" i="7" s="1"/>
  <c r="N13" i="7"/>
  <c r="O13" i="7" s="1"/>
  <c r="Q13" i="7" s="1"/>
  <c r="L14" i="7"/>
  <c r="L15" i="7"/>
  <c r="L16" i="7"/>
  <c r="L17" i="7"/>
  <c r="N17" i="7" s="1"/>
  <c r="O17" i="7" s="1"/>
  <c r="Q17" i="7" s="1"/>
  <c r="L18" i="7"/>
  <c r="L19" i="7"/>
  <c r="L5" i="7"/>
  <c r="N19" i="7"/>
  <c r="O19" i="7" s="1"/>
  <c r="Q19" i="7" s="1"/>
  <c r="N18" i="7"/>
  <c r="N16" i="7"/>
  <c r="N15" i="7"/>
  <c r="N14" i="7"/>
  <c r="N12" i="7"/>
  <c r="N11" i="7"/>
  <c r="N10" i="7"/>
  <c r="N8" i="7"/>
  <c r="N7" i="7"/>
  <c r="N6" i="7"/>
  <c r="N5" i="7"/>
  <c r="O5" i="7" s="1"/>
  <c r="D43" i="7"/>
  <c r="P19" i="7" s="1"/>
  <c r="D42" i="7"/>
  <c r="P18" i="7" s="1"/>
  <c r="W18" i="7" s="1"/>
  <c r="AD18" i="7" s="1"/>
  <c r="AK18" i="7" s="1"/>
  <c r="D41" i="7"/>
  <c r="D40" i="7"/>
  <c r="D39" i="7"/>
  <c r="P15" i="7" s="1"/>
  <c r="D38" i="7"/>
  <c r="P14" i="7" s="1"/>
  <c r="D37" i="7"/>
  <c r="D36" i="7"/>
  <c r="D35" i="7"/>
  <c r="P11" i="7" s="1"/>
  <c r="D34" i="7"/>
  <c r="D33" i="7"/>
  <c r="D32" i="7"/>
  <c r="D31" i="7"/>
  <c r="D30" i="7"/>
  <c r="D29" i="7"/>
  <c r="AI22" i="7"/>
  <c r="AB22" i="7"/>
  <c r="U22" i="7"/>
  <c r="N22" i="7"/>
  <c r="O10" i="7" s="1"/>
  <c r="Q10" i="7" s="1"/>
  <c r="F22" i="7"/>
  <c r="E22" i="7"/>
  <c r="D22" i="7"/>
  <c r="AI21" i="7"/>
  <c r="AB21" i="7"/>
  <c r="U21" i="7"/>
  <c r="N21" i="7"/>
  <c r="F21" i="7"/>
  <c r="F23" i="7" s="1"/>
  <c r="D21" i="7"/>
  <c r="E21" i="7" s="1"/>
  <c r="AI20" i="7"/>
  <c r="AB20" i="7"/>
  <c r="U20" i="7"/>
  <c r="N20" i="7"/>
  <c r="F20" i="7"/>
  <c r="D20" i="7"/>
  <c r="E20" i="7" s="1"/>
  <c r="AJ19" i="7"/>
  <c r="AC19" i="7"/>
  <c r="W19" i="7"/>
  <c r="X19" i="7" s="1"/>
  <c r="V19" i="7"/>
  <c r="V18" i="7"/>
  <c r="X18" i="7" s="1"/>
  <c r="O18" i="7"/>
  <c r="Q18" i="7" s="1"/>
  <c r="E18" i="7"/>
  <c r="H18" i="7" s="1"/>
  <c r="J18" i="7" s="1"/>
  <c r="AJ17" i="7"/>
  <c r="AD17" i="7"/>
  <c r="AK17" i="7" s="1"/>
  <c r="W17" i="7"/>
  <c r="P17" i="7"/>
  <c r="AC16" i="7"/>
  <c r="W16" i="7"/>
  <c r="AD16" i="7" s="1"/>
  <c r="AK16" i="7" s="1"/>
  <c r="V16" i="7"/>
  <c r="X16" i="7" s="1"/>
  <c r="P16" i="7"/>
  <c r="O16" i="7"/>
  <c r="Q16" i="7" s="1"/>
  <c r="AJ15" i="7"/>
  <c r="AL15" i="7" s="1"/>
  <c r="X15" i="7"/>
  <c r="W15" i="7"/>
  <c r="AD15" i="7" s="1"/>
  <c r="AK15" i="7" s="1"/>
  <c r="V15" i="7"/>
  <c r="O15" i="7"/>
  <c r="Q15" i="7" s="1"/>
  <c r="E15" i="7"/>
  <c r="H15" i="7" s="1"/>
  <c r="J15" i="7" s="1"/>
  <c r="AJ14" i="7"/>
  <c r="AD14" i="7"/>
  <c r="AK14" i="7" s="1"/>
  <c r="W14" i="7"/>
  <c r="Q14" i="7"/>
  <c r="O14" i="7"/>
  <c r="E14" i="7"/>
  <c r="H14" i="7" s="1"/>
  <c r="J14" i="7" s="1"/>
  <c r="AJ13" i="7"/>
  <c r="AD13" i="7"/>
  <c r="AK13" i="7" s="1"/>
  <c r="AC13" i="7"/>
  <c r="AE13" i="7" s="1"/>
  <c r="W13" i="7"/>
  <c r="V13" i="7"/>
  <c r="P13" i="7"/>
  <c r="E13" i="7"/>
  <c r="H13" i="7" s="1"/>
  <c r="J13" i="7" s="1"/>
  <c r="AD12" i="7"/>
  <c r="AK12" i="7" s="1"/>
  <c r="W12" i="7"/>
  <c r="P12" i="7"/>
  <c r="O12" i="7"/>
  <c r="Q12" i="7" s="1"/>
  <c r="AJ11" i="7"/>
  <c r="AL11" i="7" s="1"/>
  <c r="AD11" i="7"/>
  <c r="AK11" i="7" s="1"/>
  <c r="W11" i="7"/>
  <c r="O11" i="7"/>
  <c r="Q11" i="7" s="1"/>
  <c r="AC10" i="7"/>
  <c r="W10" i="7"/>
  <c r="AD10" i="7" s="1"/>
  <c r="AK10" i="7" s="1"/>
  <c r="V10" i="7"/>
  <c r="X10" i="7" s="1"/>
  <c r="AJ9" i="7"/>
  <c r="AL9" i="7" s="1"/>
  <c r="W9" i="7"/>
  <c r="AD9" i="7" s="1"/>
  <c r="AK9" i="7" s="1"/>
  <c r="V9" i="7"/>
  <c r="X9" i="7" s="1"/>
  <c r="AK8" i="7"/>
  <c r="W8" i="7"/>
  <c r="AD8" i="7" s="1"/>
  <c r="V8" i="7"/>
  <c r="X8" i="7" s="1"/>
  <c r="O8" i="7"/>
  <c r="Q8" i="7" s="1"/>
  <c r="E8" i="7"/>
  <c r="H8" i="7" s="1"/>
  <c r="J8" i="7" s="1"/>
  <c r="AD7" i="7"/>
  <c r="AK7" i="7" s="1"/>
  <c r="W7" i="7"/>
  <c r="G7" i="7"/>
  <c r="AK6" i="7"/>
  <c r="AJ6" i="7"/>
  <c r="AD6" i="7"/>
  <c r="W6" i="7"/>
  <c r="G6" i="7"/>
  <c r="W5" i="7"/>
  <c r="AD5" i="7" s="1"/>
  <c r="AK5" i="7" s="1"/>
  <c r="G5" i="7"/>
  <c r="AK10" i="6"/>
  <c r="AK9" i="6"/>
  <c r="AK8" i="6"/>
  <c r="AK7" i="6"/>
  <c r="AK6" i="6"/>
  <c r="AK5" i="6"/>
  <c r="AD10" i="6"/>
  <c r="AD9" i="6"/>
  <c r="AD8" i="6"/>
  <c r="AD7" i="6"/>
  <c r="AD6" i="6"/>
  <c r="AD5" i="6"/>
  <c r="W6" i="6"/>
  <c r="W7" i="6"/>
  <c r="W8" i="6"/>
  <c r="W9" i="6"/>
  <c r="W10" i="6"/>
  <c r="W5" i="6"/>
  <c r="D43" i="6"/>
  <c r="D42" i="6"/>
  <c r="D41" i="6"/>
  <c r="D40" i="6"/>
  <c r="P16" i="6" s="1"/>
  <c r="W16" i="6" s="1"/>
  <c r="AD16" i="6" s="1"/>
  <c r="AK16" i="6" s="1"/>
  <c r="D39" i="6"/>
  <c r="D38" i="6"/>
  <c r="D37" i="6"/>
  <c r="D36" i="6"/>
  <c r="P12" i="6" s="1"/>
  <c r="W12" i="6" s="1"/>
  <c r="AD12" i="6" s="1"/>
  <c r="AE12" i="6" s="1"/>
  <c r="D35" i="6"/>
  <c r="D34" i="6"/>
  <c r="D33" i="6"/>
  <c r="D32" i="6"/>
  <c r="D31" i="6"/>
  <c r="D30" i="6"/>
  <c r="D29" i="6"/>
  <c r="AI22" i="6"/>
  <c r="AB22" i="6"/>
  <c r="U22" i="6"/>
  <c r="N22" i="6"/>
  <c r="F22" i="6"/>
  <c r="E22" i="6"/>
  <c r="D22" i="6"/>
  <c r="AI21" i="6"/>
  <c r="AB21" i="6"/>
  <c r="U21" i="6"/>
  <c r="U6" i="6" s="1"/>
  <c r="N21" i="6"/>
  <c r="F21" i="6"/>
  <c r="D21" i="6"/>
  <c r="E21" i="6" s="1"/>
  <c r="AI20" i="6"/>
  <c r="AB20" i="6"/>
  <c r="U20" i="6"/>
  <c r="N20" i="6"/>
  <c r="F20" i="6"/>
  <c r="F23" i="6" s="1"/>
  <c r="E20" i="6"/>
  <c r="D20" i="6"/>
  <c r="AI19" i="6"/>
  <c r="AJ19" i="6" s="1"/>
  <c r="W19" i="6"/>
  <c r="AD19" i="6" s="1"/>
  <c r="AK19" i="6" s="1"/>
  <c r="U19" i="6"/>
  <c r="V19" i="6" s="1"/>
  <c r="X19" i="6" s="1"/>
  <c r="P19" i="6"/>
  <c r="O19" i="6"/>
  <c r="Q19" i="6" s="1"/>
  <c r="N19" i="6"/>
  <c r="H19" i="6"/>
  <c r="J19" i="6" s="1"/>
  <c r="E19" i="6"/>
  <c r="AI18" i="6"/>
  <c r="AJ18" i="6" s="1"/>
  <c r="AC18" i="6"/>
  <c r="AB18" i="6"/>
  <c r="W18" i="6"/>
  <c r="AD18" i="6" s="1"/>
  <c r="AK18" i="6" s="1"/>
  <c r="U18" i="6"/>
  <c r="V18" i="6" s="1"/>
  <c r="X18" i="6" s="1"/>
  <c r="P18" i="6"/>
  <c r="O18" i="6"/>
  <c r="Q18" i="6" s="1"/>
  <c r="N18" i="6"/>
  <c r="AI17" i="6"/>
  <c r="AJ17" i="6" s="1"/>
  <c r="AC17" i="6"/>
  <c r="AB17" i="6"/>
  <c r="W17" i="6"/>
  <c r="AD17" i="6" s="1"/>
  <c r="AK17" i="6" s="1"/>
  <c r="U17" i="6"/>
  <c r="V17" i="6" s="1"/>
  <c r="X17" i="6" s="1"/>
  <c r="P17" i="6"/>
  <c r="AI16" i="6"/>
  <c r="AJ16" i="6" s="1"/>
  <c r="U16" i="6"/>
  <c r="V16" i="6" s="1"/>
  <c r="O16" i="6"/>
  <c r="N16" i="6"/>
  <c r="H16" i="6"/>
  <c r="J16" i="6" s="1"/>
  <c r="E16" i="6"/>
  <c r="AI15" i="6"/>
  <c r="AJ15" i="6" s="1"/>
  <c r="AC15" i="6"/>
  <c r="AB15" i="6"/>
  <c r="W15" i="6"/>
  <c r="AD15" i="6" s="1"/>
  <c r="AE15" i="6" s="1"/>
  <c r="U15" i="6"/>
  <c r="V15" i="6" s="1"/>
  <c r="X15" i="6" s="1"/>
  <c r="P15" i="6"/>
  <c r="O15" i="6"/>
  <c r="Q15" i="6" s="1"/>
  <c r="N15" i="6"/>
  <c r="AI14" i="6"/>
  <c r="AJ14" i="6" s="1"/>
  <c r="AC14" i="6"/>
  <c r="AB14" i="6"/>
  <c r="W14" i="6"/>
  <c r="AD14" i="6" s="1"/>
  <c r="AE14" i="6" s="1"/>
  <c r="U14" i="6"/>
  <c r="V14" i="6" s="1"/>
  <c r="X14" i="6" s="1"/>
  <c r="P14" i="6"/>
  <c r="AI13" i="6"/>
  <c r="AJ13" i="6" s="1"/>
  <c r="W13" i="6"/>
  <c r="AD13" i="6" s="1"/>
  <c r="AK13" i="6" s="1"/>
  <c r="U13" i="6"/>
  <c r="V13" i="6" s="1"/>
  <c r="X13" i="6" s="1"/>
  <c r="P13" i="6"/>
  <c r="O13" i="6"/>
  <c r="Q13" i="6" s="1"/>
  <c r="N13" i="6"/>
  <c r="H13" i="6"/>
  <c r="J13" i="6" s="1"/>
  <c r="E13" i="6"/>
  <c r="AK12" i="6"/>
  <c r="AI12" i="6"/>
  <c r="AJ12" i="6" s="1"/>
  <c r="AC12" i="6"/>
  <c r="AB12" i="6"/>
  <c r="U12" i="6"/>
  <c r="V12" i="6" s="1"/>
  <c r="O12" i="6"/>
  <c r="N12" i="6"/>
  <c r="AI11" i="6"/>
  <c r="AJ11" i="6" s="1"/>
  <c r="AC11" i="6"/>
  <c r="AB11" i="6"/>
  <c r="W11" i="6"/>
  <c r="AD11" i="6" s="1"/>
  <c r="AE11" i="6" s="1"/>
  <c r="U11" i="6"/>
  <c r="V11" i="6" s="1"/>
  <c r="X11" i="6" s="1"/>
  <c r="P11" i="6"/>
  <c r="AI10" i="6"/>
  <c r="AJ10" i="6" s="1"/>
  <c r="U10" i="6"/>
  <c r="V10" i="6" s="1"/>
  <c r="Q10" i="6"/>
  <c r="O10" i="6"/>
  <c r="N10" i="6"/>
  <c r="H10" i="6"/>
  <c r="J10" i="6" s="1"/>
  <c r="E10" i="6"/>
  <c r="AI9" i="6"/>
  <c r="AJ9" i="6" s="1"/>
  <c r="AC9" i="6"/>
  <c r="AB9" i="6"/>
  <c r="AE9" i="6"/>
  <c r="U9" i="6"/>
  <c r="V9" i="6" s="1"/>
  <c r="Q9" i="6"/>
  <c r="O9" i="6"/>
  <c r="N9" i="6"/>
  <c r="AI8" i="6"/>
  <c r="AJ8" i="6" s="1"/>
  <c r="AC8" i="6"/>
  <c r="AB8" i="6"/>
  <c r="U8" i="6"/>
  <c r="V8" i="6" s="1"/>
  <c r="AI7" i="6"/>
  <c r="U7" i="6"/>
  <c r="O7" i="6"/>
  <c r="O22" i="6" s="1"/>
  <c r="N7" i="6"/>
  <c r="H7" i="6"/>
  <c r="J7" i="6" s="1"/>
  <c r="G7" i="6"/>
  <c r="AJ7" i="6" s="1"/>
  <c r="AJ22" i="6" s="1"/>
  <c r="E7" i="6"/>
  <c r="AJ6" i="6"/>
  <c r="AI6" i="6"/>
  <c r="AB6" i="6"/>
  <c r="X6" i="6"/>
  <c r="V6" i="6"/>
  <c r="V21" i="6" s="1"/>
  <c r="N6" i="6"/>
  <c r="G6" i="6"/>
  <c r="AI5" i="6"/>
  <c r="AC5" i="6"/>
  <c r="AC20" i="6" s="1"/>
  <c r="AB5" i="6"/>
  <c r="U5" i="6"/>
  <c r="H5" i="6"/>
  <c r="G5" i="6"/>
  <c r="E5" i="6"/>
  <c r="AL6" i="5"/>
  <c r="AL7" i="5"/>
  <c r="AL8" i="5"/>
  <c r="AL9" i="5"/>
  <c r="AL10" i="5"/>
  <c r="AL11" i="5"/>
  <c r="AL12" i="5"/>
  <c r="AL13" i="5"/>
  <c r="AL5" i="5"/>
  <c r="AK13" i="5"/>
  <c r="AK12" i="5"/>
  <c r="AK11" i="5"/>
  <c r="AK10" i="5"/>
  <c r="AK9" i="5"/>
  <c r="AK8" i="5"/>
  <c r="AK7" i="5"/>
  <c r="AK6" i="5"/>
  <c r="AK5" i="5"/>
  <c r="AE6" i="5"/>
  <c r="AE7" i="5"/>
  <c r="AE8" i="5"/>
  <c r="AE9" i="5"/>
  <c r="AE10" i="5"/>
  <c r="AE11" i="5"/>
  <c r="AE12" i="5"/>
  <c r="AE13" i="5"/>
  <c r="AE5" i="5"/>
  <c r="AD18" i="5"/>
  <c r="AK18" i="5" s="1"/>
  <c r="AL18" i="5" s="1"/>
  <c r="AD14" i="5"/>
  <c r="AK14" i="5" s="1"/>
  <c r="AL14" i="5" s="1"/>
  <c r="AD13" i="5"/>
  <c r="AD12" i="5"/>
  <c r="AD11" i="5"/>
  <c r="AD10" i="5"/>
  <c r="AD9" i="5"/>
  <c r="AD8" i="5"/>
  <c r="AD7" i="5"/>
  <c r="AD6" i="5"/>
  <c r="AD5" i="5"/>
  <c r="X6" i="5"/>
  <c r="X7" i="5"/>
  <c r="X8" i="5"/>
  <c r="X9" i="5"/>
  <c r="X10" i="5"/>
  <c r="X11" i="5"/>
  <c r="X12" i="5"/>
  <c r="X13" i="5"/>
  <c r="X5" i="5"/>
  <c r="W18" i="5"/>
  <c r="X18" i="5" s="1"/>
  <c r="W17" i="5"/>
  <c r="AD17" i="5" s="1"/>
  <c r="W14" i="5"/>
  <c r="X14" i="5" s="1"/>
  <c r="W13" i="5"/>
  <c r="W12" i="5"/>
  <c r="W11" i="5"/>
  <c r="W10" i="5"/>
  <c r="W9" i="5"/>
  <c r="W8" i="5"/>
  <c r="W7" i="5"/>
  <c r="W6" i="5"/>
  <c r="W5" i="5"/>
  <c r="P6" i="5"/>
  <c r="P7" i="5"/>
  <c r="P8" i="5"/>
  <c r="P9" i="5"/>
  <c r="Q9" i="5" s="1"/>
  <c r="P10" i="5"/>
  <c r="P11" i="5"/>
  <c r="Q11" i="5" s="1"/>
  <c r="P12" i="5"/>
  <c r="P13" i="5"/>
  <c r="Q13" i="5" s="1"/>
  <c r="P5" i="5"/>
  <c r="Q8" i="5"/>
  <c r="Q10" i="5"/>
  <c r="Q12" i="5"/>
  <c r="Q17" i="5"/>
  <c r="Q7" i="5"/>
  <c r="Q6" i="5"/>
  <c r="Q5" i="5"/>
  <c r="P14" i="5"/>
  <c r="Q14" i="5" s="1"/>
  <c r="P15" i="5"/>
  <c r="W15" i="5" s="1"/>
  <c r="P16" i="5"/>
  <c r="W16" i="5" s="1"/>
  <c r="P17" i="5"/>
  <c r="P18" i="5"/>
  <c r="Q18" i="5" s="1"/>
  <c r="P19" i="5"/>
  <c r="W19" i="5" s="1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29" i="5"/>
  <c r="X13" i="7" l="1"/>
  <c r="X12" i="7"/>
  <c r="O20" i="7"/>
  <c r="Q5" i="7"/>
  <c r="AJ5" i="7"/>
  <c r="AC5" i="7"/>
  <c r="AL12" i="7"/>
  <c r="AL6" i="7"/>
  <c r="E10" i="7"/>
  <c r="H10" i="7" s="1"/>
  <c r="J10" i="7" s="1"/>
  <c r="E16" i="7"/>
  <c r="H16" i="7" s="1"/>
  <c r="J16" i="7" s="1"/>
  <c r="E7" i="7"/>
  <c r="H7" i="7" s="1"/>
  <c r="E19" i="7"/>
  <c r="H19" i="7" s="1"/>
  <c r="J19" i="7" s="1"/>
  <c r="AL17" i="7"/>
  <c r="AC18" i="7"/>
  <c r="AE18" i="7" s="1"/>
  <c r="AC15" i="7"/>
  <c r="AE15" i="7" s="1"/>
  <c r="AC12" i="7"/>
  <c r="AE12" i="7" s="1"/>
  <c r="AC9" i="7"/>
  <c r="AE9" i="7" s="1"/>
  <c r="AC7" i="7"/>
  <c r="V7" i="7"/>
  <c r="O7" i="7"/>
  <c r="AJ7" i="7"/>
  <c r="AL13" i="7"/>
  <c r="E17" i="7"/>
  <c r="H17" i="7" s="1"/>
  <c r="J17" i="7" s="1"/>
  <c r="E5" i="7"/>
  <c r="E11" i="7"/>
  <c r="H11" i="7" s="1"/>
  <c r="J11" i="7" s="1"/>
  <c r="H5" i="7"/>
  <c r="V5" i="7"/>
  <c r="AE10" i="7"/>
  <c r="AL14" i="7"/>
  <c r="AD19" i="7"/>
  <c r="AK19" i="7" s="1"/>
  <c r="AL19" i="7" s="1"/>
  <c r="AC17" i="7"/>
  <c r="AE17" i="7" s="1"/>
  <c r="AC14" i="7"/>
  <c r="AE14" i="7" s="1"/>
  <c r="AC11" i="7"/>
  <c r="AE11" i="7" s="1"/>
  <c r="E9" i="7"/>
  <c r="H9" i="7" s="1"/>
  <c r="J9" i="7" s="1"/>
  <c r="E12" i="7"/>
  <c r="H12" i="7" s="1"/>
  <c r="J12" i="7" s="1"/>
  <c r="E6" i="7"/>
  <c r="AE16" i="7"/>
  <c r="AC6" i="7"/>
  <c r="V6" i="7"/>
  <c r="O6" i="7"/>
  <c r="H6" i="7"/>
  <c r="AJ10" i="7"/>
  <c r="AL10" i="7" s="1"/>
  <c r="AJ18" i="7"/>
  <c r="AL18" i="7" s="1"/>
  <c r="V17" i="7"/>
  <c r="X17" i="7" s="1"/>
  <c r="V14" i="7"/>
  <c r="X14" i="7" s="1"/>
  <c r="V11" i="7"/>
  <c r="X11" i="7" s="1"/>
  <c r="AL9" i="6"/>
  <c r="X10" i="6"/>
  <c r="J5" i="6"/>
  <c r="AE8" i="6"/>
  <c r="AE17" i="6"/>
  <c r="AE18" i="6"/>
  <c r="AL19" i="6"/>
  <c r="AJ21" i="6"/>
  <c r="AL8" i="6"/>
  <c r="Q12" i="6"/>
  <c r="AL17" i="6"/>
  <c r="AE5" i="6"/>
  <c r="O6" i="6"/>
  <c r="H6" i="6"/>
  <c r="AC6" i="6"/>
  <c r="AL6" i="6"/>
  <c r="Q7" i="6"/>
  <c r="X9" i="6"/>
  <c r="AL10" i="6"/>
  <c r="AK11" i="6"/>
  <c r="X12" i="6"/>
  <c r="AL13" i="6"/>
  <c r="AK14" i="6"/>
  <c r="AK15" i="6"/>
  <c r="Q16" i="6"/>
  <c r="AL16" i="6"/>
  <c r="X21" i="6"/>
  <c r="AL7" i="6"/>
  <c r="J22" i="6"/>
  <c r="AL11" i="6"/>
  <c r="AL14" i="6"/>
  <c r="AL15" i="6"/>
  <c r="AL18" i="6"/>
  <c r="N17" i="6"/>
  <c r="O17" i="6" s="1"/>
  <c r="Q17" i="6" s="1"/>
  <c r="N14" i="6"/>
  <c r="O14" i="6" s="1"/>
  <c r="Q14" i="6" s="1"/>
  <c r="N11" i="6"/>
  <c r="O11" i="6" s="1"/>
  <c r="Q11" i="6" s="1"/>
  <c r="N8" i="6"/>
  <c r="O8" i="6" s="1"/>
  <c r="Q8" i="6" s="1"/>
  <c r="N5" i="6"/>
  <c r="O5" i="6" s="1"/>
  <c r="V5" i="6"/>
  <c r="X8" i="6"/>
  <c r="AL12" i="6"/>
  <c r="X16" i="6"/>
  <c r="E17" i="6"/>
  <c r="H17" i="6" s="1"/>
  <c r="J17" i="6" s="1"/>
  <c r="E14" i="6"/>
  <c r="H14" i="6" s="1"/>
  <c r="J14" i="6" s="1"/>
  <c r="E11" i="6"/>
  <c r="H11" i="6" s="1"/>
  <c r="J11" i="6" s="1"/>
  <c r="E8" i="6"/>
  <c r="H8" i="6" s="1"/>
  <c r="J8" i="6" s="1"/>
  <c r="E18" i="6"/>
  <c r="H18" i="6" s="1"/>
  <c r="J18" i="6" s="1"/>
  <c r="E15" i="6"/>
  <c r="H15" i="6" s="1"/>
  <c r="J15" i="6" s="1"/>
  <c r="E12" i="6"/>
  <c r="H12" i="6" s="1"/>
  <c r="J12" i="6" s="1"/>
  <c r="E9" i="6"/>
  <c r="H9" i="6" s="1"/>
  <c r="J9" i="6" s="1"/>
  <c r="E6" i="6"/>
  <c r="H22" i="6"/>
  <c r="AB19" i="6"/>
  <c r="AC19" i="6" s="1"/>
  <c r="AE19" i="6" s="1"/>
  <c r="AB16" i="6"/>
  <c r="AC16" i="6" s="1"/>
  <c r="AE16" i="6" s="1"/>
  <c r="AB13" i="6"/>
  <c r="AC13" i="6" s="1"/>
  <c r="AE13" i="6" s="1"/>
  <c r="AB10" i="6"/>
  <c r="AC10" i="6" s="1"/>
  <c r="AE10" i="6" s="1"/>
  <c r="AB7" i="6"/>
  <c r="AC7" i="6" s="1"/>
  <c r="AJ5" i="6"/>
  <c r="V7" i="6"/>
  <c r="AD16" i="5"/>
  <c r="X16" i="5"/>
  <c r="X20" i="5"/>
  <c r="AD19" i="5"/>
  <c r="X19" i="5"/>
  <c r="AD15" i="5"/>
  <c r="X15" i="5"/>
  <c r="AK17" i="5"/>
  <c r="AL17" i="5" s="1"/>
  <c r="AE17" i="5"/>
  <c r="AE14" i="5"/>
  <c r="AE20" i="5" s="1"/>
  <c r="Q19" i="5"/>
  <c r="Q15" i="5"/>
  <c r="Q16" i="5"/>
  <c r="AE18" i="5"/>
  <c r="X17" i="5"/>
  <c r="X22" i="5"/>
  <c r="X21" i="5"/>
  <c r="AI22" i="5"/>
  <c r="AB22" i="5"/>
  <c r="U22" i="5"/>
  <c r="N22" i="5"/>
  <c r="N19" i="5" s="1"/>
  <c r="O19" i="5" s="1"/>
  <c r="F22" i="5"/>
  <c r="D22" i="5"/>
  <c r="E22" i="5" s="1"/>
  <c r="AI21" i="5"/>
  <c r="AI18" i="5" s="1"/>
  <c r="AJ18" i="5" s="1"/>
  <c r="AB21" i="5"/>
  <c r="U21" i="5"/>
  <c r="N21" i="5"/>
  <c r="F21" i="5"/>
  <c r="E21" i="5"/>
  <c r="D21" i="5"/>
  <c r="AI20" i="5"/>
  <c r="AB20" i="5"/>
  <c r="AB17" i="5" s="1"/>
  <c r="AC17" i="5" s="1"/>
  <c r="U20" i="5"/>
  <c r="N20" i="5"/>
  <c r="F20" i="5"/>
  <c r="F23" i="5" s="1"/>
  <c r="D20" i="5"/>
  <c r="E20" i="5" s="1"/>
  <c r="AI19" i="5"/>
  <c r="AJ19" i="5" s="1"/>
  <c r="AB19" i="5"/>
  <c r="AC19" i="5" s="1"/>
  <c r="AC18" i="5"/>
  <c r="AB18" i="5"/>
  <c r="V18" i="5"/>
  <c r="U18" i="5"/>
  <c r="V17" i="5"/>
  <c r="U17" i="5"/>
  <c r="O17" i="5"/>
  <c r="N17" i="5"/>
  <c r="AJ16" i="5"/>
  <c r="AI16" i="5"/>
  <c r="AC16" i="5"/>
  <c r="AB16" i="5"/>
  <c r="AC15" i="5"/>
  <c r="AB15" i="5"/>
  <c r="V15" i="5"/>
  <c r="U15" i="5"/>
  <c r="V14" i="5"/>
  <c r="U14" i="5"/>
  <c r="O14" i="5"/>
  <c r="N14" i="5"/>
  <c r="AJ13" i="5"/>
  <c r="AI13" i="5"/>
  <c r="AC13" i="5"/>
  <c r="AB13" i="5"/>
  <c r="AC12" i="5"/>
  <c r="AB12" i="5"/>
  <c r="V12" i="5"/>
  <c r="U12" i="5"/>
  <c r="V11" i="5"/>
  <c r="U11" i="5"/>
  <c r="O11" i="5"/>
  <c r="N11" i="5"/>
  <c r="AJ10" i="5"/>
  <c r="AI10" i="5"/>
  <c r="AC10" i="5"/>
  <c r="AB10" i="5"/>
  <c r="AC9" i="5"/>
  <c r="AB9" i="5"/>
  <c r="V9" i="5"/>
  <c r="U9" i="5"/>
  <c r="V8" i="5"/>
  <c r="U8" i="5"/>
  <c r="O8" i="5"/>
  <c r="N8" i="5"/>
  <c r="AJ7" i="5"/>
  <c r="AI7" i="5"/>
  <c r="AC7" i="5"/>
  <c r="AC22" i="5" s="1"/>
  <c r="AB7" i="5"/>
  <c r="G7" i="5"/>
  <c r="AI6" i="5"/>
  <c r="AB6" i="5"/>
  <c r="U6" i="5"/>
  <c r="N6" i="5"/>
  <c r="G6" i="5"/>
  <c r="AI5" i="5"/>
  <c r="AB5" i="5"/>
  <c r="U5" i="5"/>
  <c r="N5" i="5"/>
  <c r="G5" i="5"/>
  <c r="AF19" i="4"/>
  <c r="AF21" i="4"/>
  <c r="AF20" i="4"/>
  <c r="AF17" i="4" s="1"/>
  <c r="AG17" i="4" s="1"/>
  <c r="AH17" i="4" s="1"/>
  <c r="AF16" i="4"/>
  <c r="AG16" i="4" s="1"/>
  <c r="AH16" i="4" s="1"/>
  <c r="AF18" i="4"/>
  <c r="AG18" i="4" s="1"/>
  <c r="AH18" i="4" s="1"/>
  <c r="AF15" i="4"/>
  <c r="AG15" i="4" s="1"/>
  <c r="AH15" i="4" s="1"/>
  <c r="AF13" i="4"/>
  <c r="AG13" i="4" s="1"/>
  <c r="AH13" i="4" s="1"/>
  <c r="AF12" i="4"/>
  <c r="AG12" i="4" s="1"/>
  <c r="AH12" i="4" s="1"/>
  <c r="AF9" i="4"/>
  <c r="AG9" i="4" s="1"/>
  <c r="AH9" i="4" s="1"/>
  <c r="AF7" i="4"/>
  <c r="AG7" i="4" s="1"/>
  <c r="AH7" i="4" s="1"/>
  <c r="AF6" i="4"/>
  <c r="AG6" i="4" s="1"/>
  <c r="Z21" i="4"/>
  <c r="Z18" i="4" s="1"/>
  <c r="AA18" i="4" s="1"/>
  <c r="AB18" i="4" s="1"/>
  <c r="Z20" i="4"/>
  <c r="Z17" i="4" s="1"/>
  <c r="AA17" i="4" s="1"/>
  <c r="AB17" i="4" s="1"/>
  <c r="Z19" i="4"/>
  <c r="Z16" i="4" s="1"/>
  <c r="AA16" i="4" s="1"/>
  <c r="AB16" i="4" s="1"/>
  <c r="Z12" i="4"/>
  <c r="AA12" i="4" s="1"/>
  <c r="AB12" i="4" s="1"/>
  <c r="Z6" i="4"/>
  <c r="AA6" i="4" s="1"/>
  <c r="T21" i="4"/>
  <c r="T18" i="4" s="1"/>
  <c r="U18" i="4" s="1"/>
  <c r="V18" i="4" s="1"/>
  <c r="T20" i="4"/>
  <c r="T17" i="4" s="1"/>
  <c r="U17" i="4" s="1"/>
  <c r="V17" i="4" s="1"/>
  <c r="T19" i="4"/>
  <c r="T16" i="4" s="1"/>
  <c r="U16" i="4" s="1"/>
  <c r="V16" i="4" s="1"/>
  <c r="T15" i="4"/>
  <c r="U15" i="4" s="1"/>
  <c r="V15" i="4" s="1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4" i="4"/>
  <c r="P22" i="4"/>
  <c r="J22" i="4"/>
  <c r="P21" i="4"/>
  <c r="P20" i="4"/>
  <c r="P19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4" i="4"/>
  <c r="J4" i="4"/>
  <c r="O8" i="4"/>
  <c r="O9" i="4"/>
  <c r="O21" i="4" s="1"/>
  <c r="O10" i="4"/>
  <c r="O11" i="4"/>
  <c r="O12" i="4"/>
  <c r="O13" i="4"/>
  <c r="O19" i="4" s="1"/>
  <c r="O14" i="4"/>
  <c r="O15" i="4"/>
  <c r="O16" i="4"/>
  <c r="O17" i="4"/>
  <c r="O18" i="4"/>
  <c r="O7" i="4"/>
  <c r="O5" i="4"/>
  <c r="O6" i="4"/>
  <c r="O4" i="4"/>
  <c r="O20" i="4"/>
  <c r="H8" i="4"/>
  <c r="H9" i="4"/>
  <c r="H10" i="4"/>
  <c r="H11" i="4"/>
  <c r="H12" i="4"/>
  <c r="H13" i="4"/>
  <c r="H14" i="4"/>
  <c r="H15" i="4"/>
  <c r="H16" i="4"/>
  <c r="H17" i="4"/>
  <c r="H18" i="4"/>
  <c r="H7" i="4"/>
  <c r="H5" i="4"/>
  <c r="H6" i="4"/>
  <c r="H4" i="4"/>
  <c r="N19" i="4"/>
  <c r="N20" i="4"/>
  <c r="N21" i="4"/>
  <c r="E6" i="4"/>
  <c r="E5" i="4"/>
  <c r="E4" i="4"/>
  <c r="E18" i="4"/>
  <c r="E17" i="4"/>
  <c r="E16" i="4"/>
  <c r="E15" i="4"/>
  <c r="E14" i="4"/>
  <c r="E13" i="4"/>
  <c r="E12" i="4"/>
  <c r="E11" i="4"/>
  <c r="E10" i="4"/>
  <c r="E9" i="4"/>
  <c r="E8" i="4"/>
  <c r="E7" i="4"/>
  <c r="F2" i="1"/>
  <c r="E21" i="4"/>
  <c r="E20" i="4"/>
  <c r="E17" i="1"/>
  <c r="E19" i="4"/>
  <c r="T5" i="2"/>
  <c r="U5" i="2" s="1"/>
  <c r="T6" i="2" s="1"/>
  <c r="T4" i="2"/>
  <c r="D21" i="4"/>
  <c r="D20" i="4"/>
  <c r="D19" i="4"/>
  <c r="M11" i="1"/>
  <c r="M12" i="1"/>
  <c r="M13" i="1"/>
  <c r="M14" i="1"/>
  <c r="M15" i="1"/>
  <c r="M16" i="1"/>
  <c r="M3" i="1"/>
  <c r="M4" i="1"/>
  <c r="M5" i="1"/>
  <c r="M6" i="1"/>
  <c r="M7" i="1"/>
  <c r="M8" i="1"/>
  <c r="M9" i="1"/>
  <c r="M10" i="1"/>
  <c r="M2" i="1"/>
  <c r="H20" i="1"/>
  <c r="L20" i="1"/>
  <c r="J20" i="1"/>
  <c r="L19" i="1"/>
  <c r="L18" i="1"/>
  <c r="L17" i="1"/>
  <c r="J17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2" i="1"/>
  <c r="J3" i="1"/>
  <c r="J4" i="1"/>
  <c r="J2" i="1"/>
  <c r="I3" i="1"/>
  <c r="I4" i="1"/>
  <c r="I2" i="1"/>
  <c r="G16" i="1"/>
  <c r="G15" i="1"/>
  <c r="G14" i="1"/>
  <c r="G13" i="1"/>
  <c r="G12" i="1"/>
  <c r="G11" i="1"/>
  <c r="G10" i="1"/>
  <c r="G9" i="1"/>
  <c r="G8" i="1"/>
  <c r="H8" i="1" s="1"/>
  <c r="G7" i="1"/>
  <c r="G6" i="1"/>
  <c r="G5" i="1"/>
  <c r="G4" i="1"/>
  <c r="H4" i="1" s="1"/>
  <c r="G2" i="1"/>
  <c r="C3" i="1"/>
  <c r="C4" i="1"/>
  <c r="C2" i="1"/>
  <c r="H2" i="1" s="1"/>
  <c r="H17" i="1" s="1"/>
  <c r="C6" i="1"/>
  <c r="C7" i="1"/>
  <c r="H7" i="1" s="1"/>
  <c r="C5" i="1"/>
  <c r="H5" i="1" s="1"/>
  <c r="C9" i="1"/>
  <c r="C10" i="1"/>
  <c r="H10" i="1" s="1"/>
  <c r="C8" i="1"/>
  <c r="C12" i="1"/>
  <c r="C13" i="1"/>
  <c r="C11" i="1"/>
  <c r="H11" i="1" s="1"/>
  <c r="C15" i="1"/>
  <c r="H15" i="1" s="1"/>
  <c r="C16" i="1"/>
  <c r="D16" i="1" s="1"/>
  <c r="C14" i="1"/>
  <c r="H14" i="1" s="1"/>
  <c r="C18" i="1"/>
  <c r="C19" i="1"/>
  <c r="C17" i="1"/>
  <c r="H13" i="1"/>
  <c r="H3" i="1"/>
  <c r="H6" i="1"/>
  <c r="C31" i="1"/>
  <c r="D26" i="1" s="1"/>
  <c r="E19" i="1"/>
  <c r="F19" i="1" s="1"/>
  <c r="E18" i="1"/>
  <c r="F18" i="1" s="1"/>
  <c r="F17" i="1"/>
  <c r="J7" i="7" l="1"/>
  <c r="H22" i="7"/>
  <c r="AL21" i="7"/>
  <c r="AJ20" i="7"/>
  <c r="AL5" i="7"/>
  <c r="V21" i="7"/>
  <c r="X6" i="7"/>
  <c r="V20" i="7"/>
  <c r="V23" i="7" s="1"/>
  <c r="X5" i="7"/>
  <c r="V22" i="7"/>
  <c r="X7" i="7"/>
  <c r="AC21" i="7"/>
  <c r="AE6" i="7"/>
  <c r="J6" i="7"/>
  <c r="H21" i="7"/>
  <c r="AJ21" i="7"/>
  <c r="AE5" i="7"/>
  <c r="AC20" i="7"/>
  <c r="H20" i="7"/>
  <c r="J5" i="7"/>
  <c r="AE19" i="7"/>
  <c r="AJ22" i="7"/>
  <c r="AL7" i="7"/>
  <c r="AC22" i="7"/>
  <c r="AE7" i="7"/>
  <c r="Q6" i="7"/>
  <c r="O21" i="7"/>
  <c r="O23" i="7" s="1"/>
  <c r="Q7" i="7"/>
  <c r="O22" i="7"/>
  <c r="Q20" i="7"/>
  <c r="AC22" i="6"/>
  <c r="AE7" i="6"/>
  <c r="AE6" i="6"/>
  <c r="AC21" i="6"/>
  <c r="H21" i="6"/>
  <c r="J6" i="6"/>
  <c r="H20" i="6"/>
  <c r="AL22" i="6"/>
  <c r="X7" i="6"/>
  <c r="V22" i="6"/>
  <c r="X5" i="6"/>
  <c r="V20" i="6"/>
  <c r="V23" i="6" s="1"/>
  <c r="Q22" i="6"/>
  <c r="O21" i="6"/>
  <c r="Q6" i="6"/>
  <c r="J20" i="6"/>
  <c r="AL5" i="6"/>
  <c r="AJ20" i="6"/>
  <c r="AJ23" i="6" s="1"/>
  <c r="O20" i="6"/>
  <c r="Q5" i="6"/>
  <c r="AL21" i="6"/>
  <c r="AE20" i="6"/>
  <c r="AK15" i="5"/>
  <c r="AL15" i="5" s="1"/>
  <c r="AE15" i="5"/>
  <c r="AE21" i="5" s="1"/>
  <c r="AK19" i="5"/>
  <c r="AL19" i="5" s="1"/>
  <c r="AE19" i="5"/>
  <c r="AE16" i="5"/>
  <c r="AK16" i="5"/>
  <c r="AL16" i="5" s="1"/>
  <c r="V5" i="5"/>
  <c r="AC5" i="5"/>
  <c r="AJ5" i="5"/>
  <c r="E17" i="5"/>
  <c r="H17" i="5" s="1"/>
  <c r="J17" i="5" s="1"/>
  <c r="E14" i="5"/>
  <c r="H14" i="5" s="1"/>
  <c r="J14" i="5" s="1"/>
  <c r="E11" i="5"/>
  <c r="H11" i="5" s="1"/>
  <c r="J11" i="5" s="1"/>
  <c r="E8" i="5"/>
  <c r="H8" i="5" s="1"/>
  <c r="J8" i="5" s="1"/>
  <c r="E5" i="5"/>
  <c r="H5" i="5" s="1"/>
  <c r="AJ6" i="5"/>
  <c r="AC6" i="5"/>
  <c r="V6" i="5"/>
  <c r="O6" i="5"/>
  <c r="O5" i="5"/>
  <c r="E18" i="5"/>
  <c r="H18" i="5" s="1"/>
  <c r="J18" i="5" s="1"/>
  <c r="E15" i="5"/>
  <c r="H15" i="5" s="1"/>
  <c r="J15" i="5" s="1"/>
  <c r="E12" i="5"/>
  <c r="H12" i="5" s="1"/>
  <c r="J12" i="5" s="1"/>
  <c r="E9" i="5"/>
  <c r="H9" i="5" s="1"/>
  <c r="J9" i="5" s="1"/>
  <c r="E19" i="5"/>
  <c r="H19" i="5" s="1"/>
  <c r="J19" i="5" s="1"/>
  <c r="E16" i="5"/>
  <c r="H16" i="5" s="1"/>
  <c r="J16" i="5" s="1"/>
  <c r="E13" i="5"/>
  <c r="H13" i="5" s="1"/>
  <c r="J13" i="5" s="1"/>
  <c r="E10" i="5"/>
  <c r="H10" i="5" s="1"/>
  <c r="J10" i="5" s="1"/>
  <c r="U19" i="5"/>
  <c r="V19" i="5" s="1"/>
  <c r="U16" i="5"/>
  <c r="V16" i="5" s="1"/>
  <c r="U13" i="5"/>
  <c r="V13" i="5" s="1"/>
  <c r="U10" i="5"/>
  <c r="V10" i="5" s="1"/>
  <c r="U7" i="5"/>
  <c r="V7" i="5" s="1"/>
  <c r="E6" i="5"/>
  <c r="H6" i="5" s="1"/>
  <c r="E7" i="5"/>
  <c r="H7" i="5" s="1"/>
  <c r="AJ22" i="5"/>
  <c r="AI17" i="5"/>
  <c r="AJ17" i="5" s="1"/>
  <c r="AI14" i="5"/>
  <c r="AJ14" i="5" s="1"/>
  <c r="AI11" i="5"/>
  <c r="AJ11" i="5" s="1"/>
  <c r="AI8" i="5"/>
  <c r="AJ8" i="5" s="1"/>
  <c r="N18" i="5"/>
  <c r="O18" i="5" s="1"/>
  <c r="N15" i="5"/>
  <c r="O15" i="5" s="1"/>
  <c r="N12" i="5"/>
  <c r="O12" i="5" s="1"/>
  <c r="N9" i="5"/>
  <c r="O9" i="5" s="1"/>
  <c r="N7" i="5"/>
  <c r="O7" i="5" s="1"/>
  <c r="AB8" i="5"/>
  <c r="AC8" i="5" s="1"/>
  <c r="AI9" i="5"/>
  <c r="AJ9" i="5" s="1"/>
  <c r="N10" i="5"/>
  <c r="O10" i="5" s="1"/>
  <c r="AB11" i="5"/>
  <c r="AC11" i="5" s="1"/>
  <c r="AI12" i="5"/>
  <c r="AJ12" i="5" s="1"/>
  <c r="N13" i="5"/>
  <c r="O13" i="5" s="1"/>
  <c r="AB14" i="5"/>
  <c r="AC14" i="5" s="1"/>
  <c r="AI15" i="5"/>
  <c r="AJ15" i="5" s="1"/>
  <c r="N16" i="5"/>
  <c r="O16" i="5" s="1"/>
  <c r="AF4" i="4"/>
  <c r="AG4" i="4" s="1"/>
  <c r="AF10" i="4"/>
  <c r="AG10" i="4" s="1"/>
  <c r="AH10" i="4" s="1"/>
  <c r="Z9" i="4"/>
  <c r="AA9" i="4" s="1"/>
  <c r="AB9" i="4" s="1"/>
  <c r="Z15" i="4"/>
  <c r="AA15" i="4" s="1"/>
  <c r="AB15" i="4" s="1"/>
  <c r="Z7" i="4"/>
  <c r="AA7" i="4" s="1"/>
  <c r="AB7" i="4" s="1"/>
  <c r="Z13" i="4"/>
  <c r="AA13" i="4" s="1"/>
  <c r="AB13" i="4" s="1"/>
  <c r="Z4" i="4"/>
  <c r="AA4" i="4" s="1"/>
  <c r="AB4" i="4" s="1"/>
  <c r="Z10" i="4"/>
  <c r="AA10" i="4" s="1"/>
  <c r="AB10" i="4" s="1"/>
  <c r="AH6" i="4"/>
  <c r="AG21" i="4"/>
  <c r="AF5" i="4"/>
  <c r="AG5" i="4" s="1"/>
  <c r="AF11" i="4"/>
  <c r="AG11" i="4" s="1"/>
  <c r="AH11" i="4" s="1"/>
  <c r="AF8" i="4"/>
  <c r="AG8" i="4" s="1"/>
  <c r="AH8" i="4" s="1"/>
  <c r="AF14" i="4"/>
  <c r="AG14" i="4" s="1"/>
  <c r="AH14" i="4" s="1"/>
  <c r="AB6" i="4"/>
  <c r="AA21" i="4"/>
  <c r="Z5" i="4"/>
  <c r="AA5" i="4" s="1"/>
  <c r="Z8" i="4"/>
  <c r="AA8" i="4" s="1"/>
  <c r="AB8" i="4" s="1"/>
  <c r="Z11" i="4"/>
  <c r="AA11" i="4" s="1"/>
  <c r="AB11" i="4" s="1"/>
  <c r="Z14" i="4"/>
  <c r="AA14" i="4" s="1"/>
  <c r="AB14" i="4" s="1"/>
  <c r="T13" i="4"/>
  <c r="U13" i="4" s="1"/>
  <c r="V13" i="4" s="1"/>
  <c r="T4" i="4"/>
  <c r="U4" i="4" s="1"/>
  <c r="V4" i="4" s="1"/>
  <c r="T7" i="4"/>
  <c r="U7" i="4" s="1"/>
  <c r="V7" i="4" s="1"/>
  <c r="T10" i="4"/>
  <c r="U10" i="4" s="1"/>
  <c r="V10" i="4" s="1"/>
  <c r="V19" i="4" s="1"/>
  <c r="T6" i="4"/>
  <c r="U6" i="4" s="1"/>
  <c r="V6" i="4" s="1"/>
  <c r="T9" i="4"/>
  <c r="U9" i="4" s="1"/>
  <c r="V9" i="4" s="1"/>
  <c r="T12" i="4"/>
  <c r="U12" i="4" s="1"/>
  <c r="U21" i="4" s="1"/>
  <c r="V12" i="4"/>
  <c r="T5" i="4"/>
  <c r="U5" i="4" s="1"/>
  <c r="T8" i="4"/>
  <c r="U8" i="4" s="1"/>
  <c r="V8" i="4" s="1"/>
  <c r="T11" i="4"/>
  <c r="U11" i="4" s="1"/>
  <c r="V11" i="4" s="1"/>
  <c r="T14" i="4"/>
  <c r="U14" i="4" s="1"/>
  <c r="V14" i="4" s="1"/>
  <c r="O22" i="4"/>
  <c r="T7" i="2"/>
  <c r="T8" i="2" s="1"/>
  <c r="T9" i="2" s="1"/>
  <c r="S6" i="2"/>
  <c r="S9" i="2"/>
  <c r="S8" i="2"/>
  <c r="S7" i="2"/>
  <c r="F20" i="4"/>
  <c r="F19" i="4"/>
  <c r="G4" i="4"/>
  <c r="G6" i="4"/>
  <c r="F21" i="4"/>
  <c r="G5" i="4"/>
  <c r="H9" i="1"/>
  <c r="H12" i="1"/>
  <c r="D22" i="1"/>
  <c r="D25" i="1"/>
  <c r="H16" i="1"/>
  <c r="J16" i="1" s="1"/>
  <c r="D15" i="1"/>
  <c r="F15" i="1" s="1"/>
  <c r="J15" i="1" s="1"/>
  <c r="D28" i="1"/>
  <c r="D23" i="1"/>
  <c r="D27" i="1"/>
  <c r="D29" i="1"/>
  <c r="D24" i="1"/>
  <c r="D14" i="1"/>
  <c r="F14" i="1" s="1"/>
  <c r="J14" i="1" s="1"/>
  <c r="D2" i="1"/>
  <c r="D8" i="1"/>
  <c r="F8" i="1" s="1"/>
  <c r="J8" i="1" s="1"/>
  <c r="D11" i="1"/>
  <c r="F11" i="1"/>
  <c r="J11" i="1" s="1"/>
  <c r="D12" i="1"/>
  <c r="F12" i="1" s="1"/>
  <c r="D30" i="1"/>
  <c r="D5" i="1"/>
  <c r="F5" i="1" s="1"/>
  <c r="J5" i="1" s="1"/>
  <c r="C37" i="1"/>
  <c r="F16" i="1"/>
  <c r="C20" i="1"/>
  <c r="D4" i="1"/>
  <c r="F4" i="1" s="1"/>
  <c r="D9" i="1"/>
  <c r="F9" i="1" s="1"/>
  <c r="D13" i="1"/>
  <c r="F13" i="1" s="1"/>
  <c r="J13" i="1" s="1"/>
  <c r="D6" i="1"/>
  <c r="F6" i="1" s="1"/>
  <c r="J6" i="1" s="1"/>
  <c r="D10" i="1"/>
  <c r="F10" i="1" s="1"/>
  <c r="J10" i="1" s="1"/>
  <c r="D3" i="1"/>
  <c r="F3" i="1" s="1"/>
  <c r="D7" i="1"/>
  <c r="F7" i="1" s="1"/>
  <c r="J7" i="1" s="1"/>
  <c r="AJ23" i="7" l="1"/>
  <c r="AE22" i="7"/>
  <c r="AL20" i="7"/>
  <c r="AC23" i="7"/>
  <c r="AE21" i="7"/>
  <c r="X22" i="7"/>
  <c r="Q22" i="7"/>
  <c r="Q21" i="7"/>
  <c r="Q23" i="7" s="1"/>
  <c r="AL22" i="7"/>
  <c r="H23" i="7"/>
  <c r="AE20" i="7"/>
  <c r="J21" i="7"/>
  <c r="X21" i="7"/>
  <c r="J22" i="7"/>
  <c r="J20" i="7"/>
  <c r="J23" i="7" s="1"/>
  <c r="X20" i="7"/>
  <c r="X22" i="6"/>
  <c r="Q20" i="6"/>
  <c r="O23" i="6"/>
  <c r="Q21" i="6"/>
  <c r="X20" i="6"/>
  <c r="X23" i="6" s="1"/>
  <c r="Y5" i="6" s="1"/>
  <c r="H23" i="6"/>
  <c r="AC23" i="6"/>
  <c r="AE21" i="6"/>
  <c r="AE22" i="6"/>
  <c r="AL20" i="6"/>
  <c r="AL23" i="6" s="1"/>
  <c r="AM5" i="6" s="1"/>
  <c r="J21" i="6"/>
  <c r="J23" i="6" s="1"/>
  <c r="AL22" i="5"/>
  <c r="AE22" i="5"/>
  <c r="H21" i="5"/>
  <c r="J6" i="5"/>
  <c r="J5" i="5"/>
  <c r="H20" i="5"/>
  <c r="H23" i="5" s="1"/>
  <c r="O21" i="5"/>
  <c r="V21" i="5"/>
  <c r="O22" i="5"/>
  <c r="H22" i="5"/>
  <c r="J7" i="5"/>
  <c r="AC21" i="5"/>
  <c r="AJ20" i="5"/>
  <c r="AJ23" i="5" s="1"/>
  <c r="AC20" i="5"/>
  <c r="V22" i="5"/>
  <c r="O20" i="5"/>
  <c r="AJ21" i="5"/>
  <c r="V20" i="5"/>
  <c r="AG19" i="4"/>
  <c r="AH4" i="4"/>
  <c r="AA19" i="4"/>
  <c r="AH19" i="4"/>
  <c r="AH5" i="4"/>
  <c r="AG20" i="4"/>
  <c r="AG22" i="4"/>
  <c r="AH21" i="4"/>
  <c r="AB5" i="4"/>
  <c r="AA20" i="4"/>
  <c r="AA22" i="4" s="1"/>
  <c r="AB21" i="4"/>
  <c r="AB19" i="4"/>
  <c r="U19" i="4"/>
  <c r="V21" i="4"/>
  <c r="V5" i="4"/>
  <c r="U20" i="4"/>
  <c r="U22" i="4" s="1"/>
  <c r="F22" i="4"/>
  <c r="H19" i="1"/>
  <c r="H18" i="1"/>
  <c r="J9" i="1"/>
  <c r="J18" i="1" s="1"/>
  <c r="J19" i="1"/>
  <c r="J12" i="1"/>
  <c r="D37" i="1"/>
  <c r="B37" i="1"/>
  <c r="D17" i="1"/>
  <c r="D18" i="1"/>
  <c r="D19" i="1"/>
  <c r="J6" i="4"/>
  <c r="J8" i="4"/>
  <c r="J15" i="4"/>
  <c r="J18" i="4"/>
  <c r="J10" i="4"/>
  <c r="J9" i="4"/>
  <c r="J12" i="4"/>
  <c r="J16" i="4"/>
  <c r="J7" i="4"/>
  <c r="J14" i="4"/>
  <c r="J11" i="4"/>
  <c r="AL23" i="7" l="1"/>
  <c r="AM7" i="7" s="1"/>
  <c r="R10" i="7"/>
  <c r="R15" i="7"/>
  <c r="R11" i="7"/>
  <c r="R19" i="7"/>
  <c r="R8" i="7"/>
  <c r="R13" i="7"/>
  <c r="R9" i="7"/>
  <c r="R12" i="7"/>
  <c r="R18" i="7"/>
  <c r="R17" i="7"/>
  <c r="R16" i="7"/>
  <c r="R14" i="7"/>
  <c r="R5" i="7"/>
  <c r="R6" i="7"/>
  <c r="R7" i="7"/>
  <c r="K8" i="7"/>
  <c r="K14" i="7"/>
  <c r="K18" i="7"/>
  <c r="K15" i="7"/>
  <c r="K13" i="7"/>
  <c r="K9" i="7"/>
  <c r="K19" i="7"/>
  <c r="K17" i="7"/>
  <c r="K16" i="7"/>
  <c r="K11" i="7"/>
  <c r="K12" i="7"/>
  <c r="K10" i="7"/>
  <c r="AM9" i="7"/>
  <c r="AM6" i="7"/>
  <c r="AM10" i="7"/>
  <c r="AM17" i="7"/>
  <c r="AM14" i="7"/>
  <c r="AM12" i="7"/>
  <c r="K5" i="7"/>
  <c r="AM5" i="7"/>
  <c r="AE23" i="7"/>
  <c r="X23" i="7"/>
  <c r="K7" i="7"/>
  <c r="K6" i="7"/>
  <c r="Q23" i="6"/>
  <c r="R6" i="6" s="1"/>
  <c r="AE23" i="6"/>
  <c r="AF11" i="6" s="1"/>
  <c r="K10" i="6"/>
  <c r="K19" i="6"/>
  <c r="K7" i="6"/>
  <c r="K16" i="6"/>
  <c r="K13" i="6"/>
  <c r="K18" i="6"/>
  <c r="K8" i="6"/>
  <c r="K15" i="6"/>
  <c r="K17" i="6"/>
  <c r="K11" i="6"/>
  <c r="K14" i="6"/>
  <c r="K12" i="6"/>
  <c r="K9" i="6"/>
  <c r="K5" i="6"/>
  <c r="K6" i="6"/>
  <c r="AF9" i="6"/>
  <c r="AF14" i="6"/>
  <c r="AF10" i="6"/>
  <c r="AF17" i="6"/>
  <c r="AF16" i="6"/>
  <c r="AF18" i="6"/>
  <c r="AF7" i="6"/>
  <c r="AF6" i="6"/>
  <c r="R13" i="6"/>
  <c r="R10" i="6"/>
  <c r="R19" i="6"/>
  <c r="R15" i="6"/>
  <c r="R9" i="6"/>
  <c r="R18" i="6"/>
  <c r="R11" i="6"/>
  <c r="R8" i="6"/>
  <c r="R14" i="6"/>
  <c r="R17" i="6"/>
  <c r="R16" i="6"/>
  <c r="R7" i="6"/>
  <c r="R12" i="6"/>
  <c r="Y7" i="6"/>
  <c r="AM9" i="6"/>
  <c r="AM13" i="6"/>
  <c r="AM18" i="6"/>
  <c r="AM7" i="6"/>
  <c r="AM17" i="6"/>
  <c r="AM6" i="6"/>
  <c r="AM19" i="6"/>
  <c r="AM11" i="6"/>
  <c r="AM10" i="6"/>
  <c r="AM12" i="6"/>
  <c r="AM8" i="6"/>
  <c r="AM15" i="6"/>
  <c r="AM16" i="6"/>
  <c r="AM14" i="6"/>
  <c r="Y17" i="6"/>
  <c r="Y14" i="6"/>
  <c r="Y13" i="6"/>
  <c r="Y10" i="6"/>
  <c r="Y18" i="6"/>
  <c r="Y15" i="6"/>
  <c r="Y11" i="6"/>
  <c r="Y19" i="6"/>
  <c r="Y6" i="6"/>
  <c r="Y16" i="6"/>
  <c r="Y9" i="6"/>
  <c r="Y12" i="6"/>
  <c r="Y8" i="6"/>
  <c r="R5" i="6"/>
  <c r="V23" i="5"/>
  <c r="O23" i="5"/>
  <c r="J21" i="5"/>
  <c r="AL21" i="5"/>
  <c r="J22" i="5"/>
  <c r="Q22" i="5"/>
  <c r="AL20" i="5"/>
  <c r="J20" i="5"/>
  <c r="Q20" i="5"/>
  <c r="AC23" i="5"/>
  <c r="Q21" i="5"/>
  <c r="AH20" i="4"/>
  <c r="AH22" i="4" s="1"/>
  <c r="AB20" i="4"/>
  <c r="AB22" i="4"/>
  <c r="V20" i="4"/>
  <c r="V22" i="4" s="1"/>
  <c r="W5" i="4" s="1"/>
  <c r="H21" i="4"/>
  <c r="J21" i="4"/>
  <c r="J5" i="4"/>
  <c r="J17" i="4"/>
  <c r="J13" i="4"/>
  <c r="AM15" i="7" l="1"/>
  <c r="AM18" i="7"/>
  <c r="AM8" i="7"/>
  <c r="AM11" i="7"/>
  <c r="AM13" i="7"/>
  <c r="AM19" i="7"/>
  <c r="AM16" i="7"/>
  <c r="AF13" i="7"/>
  <c r="AF8" i="7"/>
  <c r="AF11" i="7"/>
  <c r="AF9" i="7"/>
  <c r="AF17" i="7"/>
  <c r="AF15" i="7"/>
  <c r="AF12" i="7"/>
  <c r="AF18" i="7"/>
  <c r="AF10" i="7"/>
  <c r="AF16" i="7"/>
  <c r="AF14" i="7"/>
  <c r="AF7" i="7"/>
  <c r="AF19" i="7"/>
  <c r="AF5" i="7"/>
  <c r="AF6" i="7"/>
  <c r="Y9" i="7"/>
  <c r="Y8" i="7"/>
  <c r="Y19" i="7"/>
  <c r="Y10" i="7"/>
  <c r="Y15" i="7"/>
  <c r="Y16" i="7"/>
  <c r="Y13" i="7"/>
  <c r="Y12" i="7"/>
  <c r="Y18" i="7"/>
  <c r="Y14" i="7"/>
  <c r="Y17" i="7"/>
  <c r="Y11" i="7"/>
  <c r="Y7" i="7"/>
  <c r="Y6" i="7"/>
  <c r="Y5" i="7"/>
  <c r="AF13" i="6"/>
  <c r="AF8" i="6"/>
  <c r="AF12" i="6"/>
  <c r="AF15" i="6"/>
  <c r="AF5" i="6"/>
  <c r="AL23" i="5"/>
  <c r="AM6" i="5" s="1"/>
  <c r="AM5" i="5"/>
  <c r="J23" i="5"/>
  <c r="K14" i="5" s="1"/>
  <c r="K17" i="5"/>
  <c r="K18" i="5"/>
  <c r="K13" i="5"/>
  <c r="K16" i="5"/>
  <c r="K11" i="5"/>
  <c r="K9" i="5"/>
  <c r="K12" i="5"/>
  <c r="K10" i="5"/>
  <c r="K15" i="5"/>
  <c r="K8" i="5"/>
  <c r="K19" i="5"/>
  <c r="AM10" i="5"/>
  <c r="AM18" i="5"/>
  <c r="AM19" i="5"/>
  <c r="AM16" i="5"/>
  <c r="AM7" i="5"/>
  <c r="AM13" i="5"/>
  <c r="AM9" i="5"/>
  <c r="AM15" i="5"/>
  <c r="AM8" i="5"/>
  <c r="AM14" i="5"/>
  <c r="AM11" i="5"/>
  <c r="AM17" i="5"/>
  <c r="AM12" i="5"/>
  <c r="Q23" i="5"/>
  <c r="AE23" i="5"/>
  <c r="X23" i="5"/>
  <c r="AI7" i="4"/>
  <c r="AI10" i="4"/>
  <c r="AI12" i="4"/>
  <c r="AI17" i="4"/>
  <c r="AI9" i="4"/>
  <c r="AI13" i="4"/>
  <c r="AI16" i="4"/>
  <c r="AI18" i="4"/>
  <c r="AI15" i="4"/>
  <c r="AI8" i="4"/>
  <c r="AI6" i="4"/>
  <c r="AI11" i="4"/>
  <c r="AI14" i="4"/>
  <c r="AI4" i="4"/>
  <c r="AI5" i="4"/>
  <c r="AC16" i="4"/>
  <c r="AC10" i="4"/>
  <c r="AC18" i="4"/>
  <c r="AC7" i="4"/>
  <c r="AC17" i="4"/>
  <c r="AC13" i="4"/>
  <c r="AC9" i="4"/>
  <c r="AC12" i="4"/>
  <c r="AC15" i="4"/>
  <c r="AC8" i="4"/>
  <c r="AC14" i="4"/>
  <c r="AC6" i="4"/>
  <c r="AC4" i="4"/>
  <c r="AC11" i="4"/>
  <c r="AC5" i="4"/>
  <c r="W17" i="4"/>
  <c r="W10" i="4"/>
  <c r="W9" i="4"/>
  <c r="W16" i="4"/>
  <c r="W18" i="4"/>
  <c r="W13" i="4"/>
  <c r="W4" i="4"/>
  <c r="W6" i="4"/>
  <c r="W15" i="4"/>
  <c r="W7" i="4"/>
  <c r="W8" i="4"/>
  <c r="W14" i="4"/>
  <c r="W11" i="4"/>
  <c r="W12" i="4"/>
  <c r="J20" i="4"/>
  <c r="H19" i="4"/>
  <c r="H20" i="4"/>
  <c r="K7" i="5" l="1"/>
  <c r="K6" i="5"/>
  <c r="K5" i="5"/>
  <c r="AF9" i="5"/>
  <c r="AF18" i="5"/>
  <c r="AF10" i="5"/>
  <c r="AF12" i="5"/>
  <c r="AF7" i="5"/>
  <c r="AF15" i="5"/>
  <c r="AF13" i="5"/>
  <c r="AF19" i="5"/>
  <c r="AF17" i="5"/>
  <c r="AF16" i="5"/>
  <c r="AF14" i="5"/>
  <c r="AF11" i="5"/>
  <c r="AF8" i="5"/>
  <c r="AF5" i="5"/>
  <c r="AF6" i="5"/>
  <c r="Y8" i="5"/>
  <c r="Y14" i="5"/>
  <c r="Y9" i="5"/>
  <c r="Y12" i="5"/>
  <c r="Y11" i="5"/>
  <c r="Y15" i="5"/>
  <c r="Y18" i="5"/>
  <c r="Y17" i="5"/>
  <c r="Y13" i="5"/>
  <c r="Y16" i="5"/>
  <c r="Y10" i="5"/>
  <c r="Y19" i="5"/>
  <c r="Y5" i="5"/>
  <c r="Y6" i="5"/>
  <c r="Y7" i="5"/>
  <c r="R8" i="5"/>
  <c r="R19" i="5"/>
  <c r="R11" i="5"/>
  <c r="R17" i="5"/>
  <c r="R14" i="5"/>
  <c r="R18" i="5"/>
  <c r="R15" i="5"/>
  <c r="R10" i="5"/>
  <c r="R16" i="5"/>
  <c r="R9" i="5"/>
  <c r="R13" i="5"/>
  <c r="R12" i="5"/>
  <c r="R6" i="5"/>
  <c r="R7" i="5"/>
  <c r="R5" i="5"/>
  <c r="J19" i="4"/>
  <c r="H22" i="4"/>
  <c r="K5" i="4" l="1"/>
  <c r="K9" i="4"/>
  <c r="K13" i="4"/>
  <c r="K17" i="4"/>
  <c r="K15" i="4"/>
  <c r="K12" i="4"/>
  <c r="K6" i="4"/>
  <c r="K10" i="4"/>
  <c r="K14" i="4"/>
  <c r="K18" i="4"/>
  <c r="K7" i="4"/>
  <c r="K11" i="4"/>
  <c r="K8" i="4"/>
  <c r="K16" i="4"/>
  <c r="K4" i="4"/>
  <c r="N9" i="4"/>
  <c r="N18" i="4"/>
  <c r="N6" i="4"/>
  <c r="N15" i="4"/>
  <c r="N12" i="4"/>
  <c r="N5" i="4"/>
  <c r="N17" i="4"/>
  <c r="N14" i="4"/>
  <c r="N11" i="4"/>
  <c r="N8" i="4"/>
  <c r="N13" i="4"/>
  <c r="N16" i="4"/>
  <c r="N4" i="4"/>
  <c r="N7" i="4"/>
  <c r="N10" i="4"/>
</calcChain>
</file>

<file path=xl/comments1.xml><?xml version="1.0" encoding="utf-8"?>
<comments xmlns="http://schemas.openxmlformats.org/spreadsheetml/2006/main">
  <authors>
    <author>cuse</author>
  </authors>
  <commentList>
    <comment ref="I1" authorId="0" shapeId="0">
      <text>
        <r>
          <rPr>
            <b/>
            <sz val="9"/>
            <color indexed="81"/>
            <rFont val="Tahoma"/>
            <charset val="1"/>
          </rPr>
          <t>cuse:</t>
        </r>
        <r>
          <rPr>
            <sz val="9"/>
            <color indexed="81"/>
            <rFont val="Tahoma"/>
            <charset val="1"/>
          </rPr>
          <t xml:space="preserve">
with assumption</t>
        </r>
      </text>
    </comment>
    <comment ref="B37" authorId="0" shapeId="0">
      <text>
        <r>
          <rPr>
            <b/>
            <sz val="9"/>
            <color indexed="81"/>
            <rFont val="Tahoma"/>
            <charset val="1"/>
          </rPr>
          <t>cuse:</t>
        </r>
        <r>
          <rPr>
            <sz val="9"/>
            <color indexed="81"/>
            <rFont val="Tahoma"/>
            <charset val="1"/>
          </rPr>
          <t xml:space="preserve">
Yokohama</t>
        </r>
      </text>
    </comment>
  </commentList>
</comments>
</file>

<file path=xl/comments2.xml><?xml version="1.0" encoding="utf-8"?>
<comments xmlns="http://schemas.openxmlformats.org/spreadsheetml/2006/main">
  <authors>
    <author>cuse</author>
  </authors>
  <commentList>
    <comment ref="G3" authorId="0" shapeId="0">
      <text>
        <r>
          <rPr>
            <b/>
            <sz val="9"/>
            <color indexed="81"/>
            <rFont val="Tahoma"/>
            <charset val="1"/>
          </rPr>
          <t>cuse:</t>
        </r>
        <r>
          <rPr>
            <sz val="9"/>
            <color indexed="81"/>
            <rFont val="Tahoma"/>
            <charset val="1"/>
          </rPr>
          <t xml:space="preserve">
with assumption</t>
        </r>
      </text>
    </comment>
  </commentList>
</comments>
</file>

<file path=xl/comments3.xml><?xml version="1.0" encoding="utf-8"?>
<comments xmlns="http://schemas.openxmlformats.org/spreadsheetml/2006/main">
  <authors>
    <author>cuse</author>
  </authors>
  <commentList>
    <comment ref="G4" authorId="0" shapeId="0">
      <text>
        <r>
          <rPr>
            <b/>
            <sz val="9"/>
            <color indexed="81"/>
            <rFont val="Tahoma"/>
            <charset val="1"/>
          </rPr>
          <t>cuse:</t>
        </r>
        <r>
          <rPr>
            <sz val="9"/>
            <color indexed="81"/>
            <rFont val="Tahoma"/>
            <charset val="1"/>
          </rPr>
          <t xml:space="preserve">
with assumption</t>
        </r>
      </text>
    </comment>
  </commentList>
</comments>
</file>

<file path=xl/comments4.xml><?xml version="1.0" encoding="utf-8"?>
<comments xmlns="http://schemas.openxmlformats.org/spreadsheetml/2006/main">
  <authors>
    <author>cuse</author>
  </authors>
  <commentList>
    <comment ref="G4" authorId="0" shapeId="0">
      <text>
        <r>
          <rPr>
            <b/>
            <sz val="9"/>
            <color indexed="81"/>
            <rFont val="Tahoma"/>
            <charset val="1"/>
          </rPr>
          <t>cuse:</t>
        </r>
        <r>
          <rPr>
            <sz val="9"/>
            <color indexed="81"/>
            <rFont val="Tahoma"/>
            <charset val="1"/>
          </rPr>
          <t xml:space="preserve">
with assumption</t>
        </r>
      </text>
    </comment>
  </commentList>
</comments>
</file>

<file path=xl/comments5.xml><?xml version="1.0" encoding="utf-8"?>
<comments xmlns="http://schemas.openxmlformats.org/spreadsheetml/2006/main">
  <authors>
    <author>cuse</author>
  </authors>
  <commentList>
    <comment ref="G4" authorId="0" shapeId="0">
      <text>
        <r>
          <rPr>
            <b/>
            <sz val="9"/>
            <color indexed="81"/>
            <rFont val="Tahoma"/>
            <charset val="1"/>
          </rPr>
          <t>cuse:</t>
        </r>
        <r>
          <rPr>
            <sz val="9"/>
            <color indexed="81"/>
            <rFont val="Tahoma"/>
            <charset val="1"/>
          </rPr>
          <t xml:space="preserve">
with assumption</t>
        </r>
      </text>
    </comment>
  </commentList>
</comments>
</file>

<file path=xl/sharedStrings.xml><?xml version="1.0" encoding="utf-8"?>
<sst xmlns="http://schemas.openxmlformats.org/spreadsheetml/2006/main" count="497" uniqueCount="134">
  <si>
    <t>Sample</t>
  </si>
  <si>
    <t>Mode</t>
  </si>
  <si>
    <t>Rail</t>
  </si>
  <si>
    <t>Bus</t>
  </si>
  <si>
    <t xml:space="preserve">Car </t>
  </si>
  <si>
    <t>Bicycle</t>
  </si>
  <si>
    <t>Walk</t>
  </si>
  <si>
    <t>Age Distribution (C 2015)</t>
  </si>
  <si>
    <t>0-9 years</t>
  </si>
  <si>
    <t>10-19 years</t>
  </si>
  <si>
    <t>20-29 years</t>
  </si>
  <si>
    <t>30-39 years</t>
  </si>
  <si>
    <t>40-49 years</t>
  </si>
  <si>
    <t>50-59 years</t>
  </si>
  <si>
    <t>60-69 years</t>
  </si>
  <si>
    <t>70-79 years</t>
  </si>
  <si>
    <t>80+ years</t>
  </si>
  <si>
    <t>Age</t>
  </si>
  <si>
    <t>0-14</t>
  </si>
  <si>
    <t>15-64</t>
  </si>
  <si>
    <t>Above 65</t>
  </si>
  <si>
    <t>Age group</t>
  </si>
  <si>
    <t>Count</t>
  </si>
  <si>
    <t>Agegroup</t>
  </si>
  <si>
    <t>Total</t>
  </si>
  <si>
    <t>65above</t>
  </si>
  <si>
    <t>Transportation</t>
  </si>
  <si>
    <t>7</t>
  </si>
  <si>
    <t>8</t>
  </si>
  <si>
    <t>Mode split age wise</t>
  </si>
  <si>
    <t>Population % (2010)</t>
  </si>
  <si>
    <t xml:space="preserve">Population (2010) </t>
  </si>
  <si>
    <t>PassengerKm/person</t>
  </si>
  <si>
    <t>SPEED</t>
  </si>
  <si>
    <t>160 </t>
  </si>
  <si>
    <t>Descriptive Statistics</t>
  </si>
  <si>
    <t>N</t>
  </si>
  <si>
    <t>Minimum</t>
  </si>
  <si>
    <t>Maximum</t>
  </si>
  <si>
    <t>Sum</t>
  </si>
  <si>
    <t>Mean</t>
  </si>
  <si>
    <t>Std. Deviation</t>
  </si>
  <si>
    <t>Valid N (listwise)</t>
  </si>
  <si>
    <t>PassengerKm</t>
  </si>
  <si>
    <t>WALK_PKM_g1_sum</t>
  </si>
  <si>
    <t>BICYCLE_PKM_g1_sum</t>
  </si>
  <si>
    <t>PRIVATE_PKM_g1_sum</t>
  </si>
  <si>
    <t>BUS_PKM_g1_sum</t>
  </si>
  <si>
    <t>TRAIN_PKM_g1_sum</t>
  </si>
  <si>
    <t>TRAIN_PKM_g2_sum</t>
  </si>
  <si>
    <t>WALK_PKM_g2_sum</t>
  </si>
  <si>
    <t>BICYCLE_PKM_g2_sum</t>
  </si>
  <si>
    <t>PRIVATE_PKM_g2_sum</t>
  </si>
  <si>
    <t>BUS_PKM_g2_sum</t>
  </si>
  <si>
    <t>TRAIN_PKM_g3_sum</t>
  </si>
  <si>
    <t>WALK_PKM_g3_sum</t>
  </si>
  <si>
    <t>BICYCLE_PKM_g3_sum</t>
  </si>
  <si>
    <t>PRIVATE_PKM_g3_sum</t>
  </si>
  <si>
    <t>BUS_PKM_g3_sum</t>
  </si>
  <si>
    <t>Valid</t>
  </si>
  <si>
    <t>Agegroup * Transportation Crosstabulation</t>
  </si>
  <si>
    <t>Railway</t>
  </si>
  <si>
    <t>car</t>
  </si>
  <si>
    <t>two-wheeler</t>
  </si>
  <si>
    <t>bicycle</t>
  </si>
  <si>
    <t>walk</t>
  </si>
  <si>
    <t>Frequency</t>
  </si>
  <si>
    <t>Percent</t>
  </si>
  <si>
    <t>Valid Percent</t>
  </si>
  <si>
    <t>Cumulative Percent</t>
  </si>
  <si>
    <t>TRAIN_G1_sum</t>
  </si>
  <si>
    <t>TRAIN_G2_sum</t>
  </si>
  <si>
    <t>TRAIN_G3_sum</t>
  </si>
  <si>
    <t>BUS_G1_sum</t>
  </si>
  <si>
    <t>BUS_G2_sum</t>
  </si>
  <si>
    <t>BUS_G3_sum</t>
  </si>
  <si>
    <t>BICYCLE_G1_sum</t>
  </si>
  <si>
    <t>BICYCLE_G2_sum</t>
  </si>
  <si>
    <t>BICYCLE_G3_sum</t>
  </si>
  <si>
    <t>WALK_G1_sum</t>
  </si>
  <si>
    <t>WALK_G2_sum</t>
  </si>
  <si>
    <t>WALK_G3_sum</t>
  </si>
  <si>
    <t>CAR_G1_sum</t>
  </si>
  <si>
    <t>CAR_G2_sum</t>
  </si>
  <si>
    <t>CAR_G3_sum</t>
  </si>
  <si>
    <t>PassengerKm (sample)</t>
  </si>
  <si>
    <t>CO2 EMISSION PER PKM</t>
  </si>
  <si>
    <t xml:space="preserve">CO2 EMISSION </t>
  </si>
  <si>
    <t>Same share in mode pattern</t>
  </si>
  <si>
    <t>Share</t>
  </si>
  <si>
    <t>japan</t>
  </si>
  <si>
    <t>yokohoma</t>
  </si>
  <si>
    <t xml:space="preserve">2010 Share </t>
  </si>
  <si>
    <t>2020 Share</t>
  </si>
  <si>
    <t>2030 Share</t>
  </si>
  <si>
    <t>2040 Share</t>
  </si>
  <si>
    <t>2050 Share</t>
  </si>
  <si>
    <t xml:space="preserve">Changing population trend  </t>
  </si>
  <si>
    <t>per year increase</t>
  </si>
  <si>
    <t>EMISSION DIFFERENT</t>
  </si>
  <si>
    <t>No change</t>
  </si>
  <si>
    <t>Population % (2020)</t>
  </si>
  <si>
    <t xml:space="preserve">Population (2020) </t>
  </si>
  <si>
    <t>Changing share in mode pattern</t>
  </si>
  <si>
    <t>Population % (2030)</t>
  </si>
  <si>
    <t xml:space="preserve">Population (2030) </t>
  </si>
  <si>
    <t>Population % (2040)</t>
  </si>
  <si>
    <t xml:space="preserve">Population (2040) </t>
  </si>
  <si>
    <t>Population % (2050)</t>
  </si>
  <si>
    <t xml:space="preserve">Population (2050) </t>
  </si>
  <si>
    <t xml:space="preserve">SCENARIO </t>
  </si>
  <si>
    <t xml:space="preserve">Share </t>
  </si>
  <si>
    <t>AGE GROUP</t>
  </si>
  <si>
    <t>Sl.No:</t>
  </si>
  <si>
    <t>a.  Changing Population trend  b.  Same Mode pattern                  c.  Same Mode based emission per PKM</t>
  </si>
  <si>
    <t>a.  Changing Population trend  b.  Same Mode pattern                  c.  Changing Mode based emission per PKM</t>
  </si>
  <si>
    <t>a.  Changing Population trend  b.  Same Mode pattern                  c.  Changing emission per PKM in car while emission per PKM in other mode are constant</t>
  </si>
  <si>
    <t>a.  Changing Population trend  b.  Shifting Car users to  Public transport                                           c.  Changing Emission per PKM</t>
  </si>
  <si>
    <t>Scenario 1</t>
  </si>
  <si>
    <t>Scenario 2</t>
  </si>
  <si>
    <t>Scenario 3</t>
  </si>
  <si>
    <t>Scenario 4</t>
  </si>
  <si>
    <t>Scenario 1(0-14)</t>
  </si>
  <si>
    <t>Scenario 1 (15-64)</t>
  </si>
  <si>
    <t>Scenario 1 (Above 65)</t>
  </si>
  <si>
    <t>Scenario 2(0-14)</t>
  </si>
  <si>
    <t>Scenario 2 (15-64)</t>
  </si>
  <si>
    <t>Scenario 2 (Above 65)</t>
  </si>
  <si>
    <t>Scenario 3 (0-14)</t>
  </si>
  <si>
    <t>Scenario 3 (15-64)</t>
  </si>
  <si>
    <t>Scenario 3 (Above 65)</t>
  </si>
  <si>
    <t>Scenario  4 (0-14)</t>
  </si>
  <si>
    <t>Scenario 4 (15-64)</t>
  </si>
  <si>
    <t>Scenario 4 (Above 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</si>
</sst>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0000"/>
    <numFmt numFmtId="165" formatCode="0.0"/>
    <numFmt numFmtId="166" formatCode="###0"/>
    <numFmt numFmtId="167" formatCode="###0.0"/>
    <numFmt numFmtId="168" formatCode="###0.00"/>
    <numFmt numFmtId="169" formatCode="####.0000"/>
    <numFmt numFmtId="170" formatCode="####.00000"/>
    <numFmt numFmtId="171" formatCode="###0.00000"/>
    <numFmt numFmtId="172" formatCode="###0.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</font>
    <font>
      <b/>
      <sz val="9"/>
      <color indexed="8"/>
      <name val="Arial Bold"/>
    </font>
    <font>
      <sz val="9"/>
      <color indexed="8"/>
      <name val="Arial"/>
    </font>
    <font>
      <sz val="11"/>
      <color rgb="FF222222"/>
      <name val="Arial"/>
      <family val="2"/>
    </font>
    <font>
      <sz val="10"/>
      <name val="Arial"/>
      <family val="2"/>
    </font>
    <font>
      <sz val="16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E88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 style="medium">
        <color rgb="FFCCCCCC"/>
      </top>
      <bottom style="medium">
        <color rgb="FFCCCCCC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10" fillId="0" borderId="0"/>
    <xf numFmtId="0" fontId="6" fillId="0" borderId="0"/>
    <xf numFmtId="0" fontId="6" fillId="0" borderId="0"/>
  </cellStyleXfs>
  <cellXfs count="133">
    <xf numFmtId="0" fontId="0" fillId="0" borderId="0" xfId="0"/>
    <xf numFmtId="0" fontId="2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 vertical="top" wrapText="1"/>
    </xf>
    <xf numFmtId="3" fontId="0" fillId="0" borderId="0" xfId="0" applyNumberFormat="1"/>
    <xf numFmtId="0" fontId="2" fillId="3" borderId="0" xfId="0" applyFont="1" applyFill="1" applyBorder="1" applyAlignment="1">
      <alignment horizontal="left" vertical="top" wrapText="1"/>
    </xf>
    <xf numFmtId="164" fontId="0" fillId="0" borderId="0" xfId="0" applyNumberFormat="1"/>
    <xf numFmtId="165" fontId="0" fillId="4" borderId="0" xfId="0" applyNumberFormat="1" applyFill="1"/>
    <xf numFmtId="166" fontId="8" fillId="0" borderId="0" xfId="1" applyNumberFormat="1" applyFont="1" applyBorder="1" applyAlignment="1">
      <alignment horizontal="right" vertical="top"/>
    </xf>
    <xf numFmtId="0" fontId="3" fillId="2" borderId="0" xfId="0" applyFont="1" applyFill="1" applyBorder="1" applyAlignment="1">
      <alignment horizontal="center" vertical="center"/>
    </xf>
    <xf numFmtId="0" fontId="0" fillId="0" borderId="0" xfId="0" applyBorder="1"/>
    <xf numFmtId="166" fontId="0" fillId="0" borderId="0" xfId="0" applyNumberFormat="1" applyBorder="1"/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wrapText="1"/>
    </xf>
    <xf numFmtId="168" fontId="8" fillId="0" borderId="0" xfId="1" applyNumberFormat="1" applyFont="1" applyBorder="1" applyAlignment="1">
      <alignment horizontal="right" vertical="top"/>
    </xf>
    <xf numFmtId="3" fontId="2" fillId="5" borderId="0" xfId="0" applyNumberFormat="1" applyFont="1" applyFill="1" applyBorder="1" applyAlignment="1">
      <alignment horizontal="right" vertical="top" wrapText="1"/>
    </xf>
    <xf numFmtId="0" fontId="0" fillId="0" borderId="0" xfId="0" applyBorder="1" applyAlignment="1">
      <alignment wrapText="1"/>
    </xf>
    <xf numFmtId="0" fontId="7" fillId="0" borderId="0" xfId="1" applyFont="1" applyBorder="1" applyAlignment="1">
      <alignment vertical="center" wrapText="1"/>
    </xf>
    <xf numFmtId="0" fontId="8" fillId="0" borderId="0" xfId="1" applyFont="1" applyBorder="1" applyAlignment="1">
      <alignment vertical="top" wrapText="1"/>
    </xf>
    <xf numFmtId="0" fontId="8" fillId="0" borderId="0" xfId="1" applyFont="1" applyBorder="1" applyAlignment="1">
      <alignment wrapText="1"/>
    </xf>
    <xf numFmtId="2" fontId="0" fillId="0" borderId="0" xfId="0" applyNumberFormat="1" applyBorder="1"/>
    <xf numFmtId="0" fontId="0" fillId="0" borderId="0" xfId="0" applyFont="1"/>
    <xf numFmtId="0" fontId="2" fillId="3" borderId="0" xfId="0" applyFont="1" applyFill="1" applyBorder="1" applyAlignment="1">
      <alignment horizontal="right" vertical="top" wrapText="1"/>
    </xf>
    <xf numFmtId="0" fontId="9" fillId="0" borderId="0" xfId="0" applyFont="1"/>
    <xf numFmtId="0" fontId="7" fillId="0" borderId="0" xfId="2" applyFont="1" applyBorder="1" applyAlignment="1">
      <alignment vertical="center" wrapText="1"/>
    </xf>
    <xf numFmtId="3" fontId="2" fillId="5" borderId="2" xfId="0" applyNumberFormat="1" applyFont="1" applyFill="1" applyBorder="1" applyAlignment="1">
      <alignment horizontal="right" vertical="top" wrapText="1"/>
    </xf>
    <xf numFmtId="0" fontId="1" fillId="0" borderId="0" xfId="0" applyFont="1" applyBorder="1"/>
    <xf numFmtId="0" fontId="8" fillId="0" borderId="0" xfId="1" applyFont="1" applyBorder="1" applyAlignment="1">
      <alignment horizontal="left" vertical="top" wrapText="1"/>
    </xf>
    <xf numFmtId="0" fontId="8" fillId="0" borderId="12" xfId="3" applyFont="1" applyBorder="1" applyAlignment="1">
      <alignment horizontal="center"/>
    </xf>
    <xf numFmtId="0" fontId="8" fillId="0" borderId="13" xfId="3" applyFont="1" applyBorder="1" applyAlignment="1">
      <alignment horizontal="center"/>
    </xf>
    <xf numFmtId="0" fontId="8" fillId="0" borderId="6" xfId="3" applyFont="1" applyBorder="1" applyAlignment="1">
      <alignment horizontal="left" vertical="top" wrapText="1"/>
    </xf>
    <xf numFmtId="166" fontId="8" fillId="0" borderId="15" xfId="3" applyNumberFormat="1" applyFont="1" applyBorder="1" applyAlignment="1">
      <alignment horizontal="right" vertical="top"/>
    </xf>
    <xf numFmtId="166" fontId="8" fillId="0" borderId="16" xfId="3" applyNumberFormat="1" applyFont="1" applyBorder="1" applyAlignment="1">
      <alignment horizontal="right" vertical="top"/>
    </xf>
    <xf numFmtId="166" fontId="8" fillId="0" borderId="17" xfId="3" applyNumberFormat="1" applyFont="1" applyBorder="1" applyAlignment="1">
      <alignment horizontal="right" vertical="top"/>
    </xf>
    <xf numFmtId="0" fontId="8" fillId="0" borderId="19" xfId="3" applyFont="1" applyBorder="1" applyAlignment="1">
      <alignment horizontal="left" vertical="top" wrapText="1"/>
    </xf>
    <xf numFmtId="166" fontId="8" fillId="0" borderId="20" xfId="3" applyNumberFormat="1" applyFont="1" applyBorder="1" applyAlignment="1">
      <alignment horizontal="right" vertical="top"/>
    </xf>
    <xf numFmtId="166" fontId="8" fillId="0" borderId="21" xfId="3" applyNumberFormat="1" applyFont="1" applyBorder="1" applyAlignment="1">
      <alignment horizontal="right" vertical="top"/>
    </xf>
    <xf numFmtId="166" fontId="8" fillId="0" borderId="22" xfId="3" applyNumberFormat="1" applyFont="1" applyBorder="1" applyAlignment="1">
      <alignment horizontal="right" vertical="top"/>
    </xf>
    <xf numFmtId="166" fontId="8" fillId="0" borderId="23" xfId="3" applyNumberFormat="1" applyFont="1" applyBorder="1" applyAlignment="1">
      <alignment horizontal="right" vertical="top"/>
    </xf>
    <xf numFmtId="166" fontId="8" fillId="0" borderId="24" xfId="3" applyNumberFormat="1" applyFont="1" applyBorder="1" applyAlignment="1">
      <alignment horizontal="right" vertical="top"/>
    </xf>
    <xf numFmtId="166" fontId="8" fillId="0" borderId="25" xfId="3" applyNumberFormat="1" applyFont="1" applyBorder="1" applyAlignment="1">
      <alignment horizontal="right" vertical="top"/>
    </xf>
    <xf numFmtId="0" fontId="6" fillId="0" borderId="0" xfId="4"/>
    <xf numFmtId="0" fontId="8" fillId="0" borderId="27" xfId="4" applyFont="1" applyBorder="1" applyAlignment="1">
      <alignment horizontal="center" wrapText="1"/>
    </xf>
    <xf numFmtId="0" fontId="8" fillId="0" borderId="28" xfId="4" applyFont="1" applyBorder="1" applyAlignment="1">
      <alignment horizontal="center" wrapText="1"/>
    </xf>
    <xf numFmtId="0" fontId="8" fillId="0" borderId="29" xfId="4" applyFont="1" applyBorder="1" applyAlignment="1">
      <alignment horizontal="center" wrapText="1"/>
    </xf>
    <xf numFmtId="0" fontId="8" fillId="0" borderId="6" xfId="4" applyFont="1" applyBorder="1" applyAlignment="1">
      <alignment horizontal="left" vertical="top" wrapText="1"/>
    </xf>
    <xf numFmtId="166" fontId="8" fillId="0" borderId="15" xfId="4" applyNumberFormat="1" applyFont="1" applyBorder="1" applyAlignment="1">
      <alignment horizontal="right" vertical="top"/>
    </xf>
    <xf numFmtId="167" fontId="8" fillId="0" borderId="16" xfId="4" applyNumberFormat="1" applyFont="1" applyBorder="1" applyAlignment="1">
      <alignment horizontal="right" vertical="top"/>
    </xf>
    <xf numFmtId="167" fontId="8" fillId="0" borderId="17" xfId="4" applyNumberFormat="1" applyFont="1" applyBorder="1" applyAlignment="1">
      <alignment horizontal="right" vertical="top"/>
    </xf>
    <xf numFmtId="0" fontId="8" fillId="0" borderId="19" xfId="4" applyFont="1" applyBorder="1" applyAlignment="1">
      <alignment horizontal="left" vertical="top" wrapText="1"/>
    </xf>
    <xf numFmtId="166" fontId="8" fillId="0" borderId="20" xfId="4" applyNumberFormat="1" applyFont="1" applyBorder="1" applyAlignment="1">
      <alignment horizontal="right" vertical="top"/>
    </xf>
    <xf numFmtId="167" fontId="8" fillId="0" borderId="21" xfId="4" applyNumberFormat="1" applyFont="1" applyBorder="1" applyAlignment="1">
      <alignment horizontal="right" vertical="top"/>
    </xf>
    <xf numFmtId="167" fontId="8" fillId="0" borderId="22" xfId="4" applyNumberFormat="1" applyFont="1" applyBorder="1" applyAlignment="1">
      <alignment horizontal="right" vertical="top"/>
    </xf>
    <xf numFmtId="0" fontId="8" fillId="0" borderId="11" xfId="4" applyFont="1" applyBorder="1" applyAlignment="1">
      <alignment horizontal="left" vertical="top" wrapText="1"/>
    </xf>
    <xf numFmtId="166" fontId="8" fillId="0" borderId="23" xfId="4" applyNumberFormat="1" applyFont="1" applyBorder="1" applyAlignment="1">
      <alignment horizontal="right" vertical="top"/>
    </xf>
    <xf numFmtId="167" fontId="8" fillId="0" borderId="24" xfId="4" applyNumberFormat="1" applyFont="1" applyBorder="1" applyAlignment="1">
      <alignment horizontal="right" vertical="top"/>
    </xf>
    <xf numFmtId="0" fontId="8" fillId="0" borderId="25" xfId="4" applyFont="1" applyBorder="1" applyAlignment="1">
      <alignment horizontal="left" vertical="top" wrapText="1"/>
    </xf>
    <xf numFmtId="0" fontId="8" fillId="0" borderId="30" xfId="4" applyFont="1" applyBorder="1" applyAlignment="1">
      <alignment horizontal="left" vertical="top" wrapText="1"/>
    </xf>
    <xf numFmtId="168" fontId="8" fillId="0" borderId="16" xfId="4" applyNumberFormat="1" applyFont="1" applyBorder="1" applyAlignment="1">
      <alignment horizontal="right" vertical="top"/>
    </xf>
    <xf numFmtId="169" fontId="8" fillId="0" borderId="16" xfId="4" applyNumberFormat="1" applyFont="1" applyBorder="1" applyAlignment="1">
      <alignment horizontal="right" vertical="top"/>
    </xf>
    <xf numFmtId="170" fontId="8" fillId="0" borderId="17" xfId="4" applyNumberFormat="1" applyFont="1" applyBorder="1" applyAlignment="1">
      <alignment horizontal="right" vertical="top"/>
    </xf>
    <xf numFmtId="0" fontId="8" fillId="0" borderId="31" xfId="4" applyFont="1" applyBorder="1" applyAlignment="1">
      <alignment horizontal="left" vertical="top" wrapText="1"/>
    </xf>
    <xf numFmtId="168" fontId="8" fillId="0" borderId="21" xfId="4" applyNumberFormat="1" applyFont="1" applyBorder="1" applyAlignment="1">
      <alignment horizontal="right" vertical="top"/>
    </xf>
    <xf numFmtId="169" fontId="8" fillId="0" borderId="21" xfId="4" applyNumberFormat="1" applyFont="1" applyBorder="1" applyAlignment="1">
      <alignment horizontal="right" vertical="top"/>
    </xf>
    <xf numFmtId="170" fontId="8" fillId="0" borderId="22" xfId="4" applyNumberFormat="1" applyFont="1" applyBorder="1" applyAlignment="1">
      <alignment horizontal="right" vertical="top"/>
    </xf>
    <xf numFmtId="171" fontId="8" fillId="0" borderId="22" xfId="4" applyNumberFormat="1" applyFont="1" applyBorder="1" applyAlignment="1">
      <alignment horizontal="right" vertical="top"/>
    </xf>
    <xf numFmtId="172" fontId="8" fillId="0" borderId="21" xfId="4" applyNumberFormat="1" applyFont="1" applyBorder="1" applyAlignment="1">
      <alignment horizontal="right" vertical="top"/>
    </xf>
    <xf numFmtId="0" fontId="8" fillId="0" borderId="32" xfId="4" applyFont="1" applyBorder="1" applyAlignment="1">
      <alignment horizontal="left" vertical="top" wrapText="1"/>
    </xf>
    <xf numFmtId="0" fontId="8" fillId="0" borderId="24" xfId="4" applyFont="1" applyBorder="1" applyAlignment="1">
      <alignment horizontal="left" vertical="top" wrapText="1"/>
    </xf>
    <xf numFmtId="165" fontId="7" fillId="0" borderId="0" xfId="1" applyNumberFormat="1" applyFont="1" applyBorder="1" applyAlignment="1">
      <alignment vertical="center" wrapText="1"/>
    </xf>
    <xf numFmtId="165" fontId="7" fillId="0" borderId="0" xfId="2" applyNumberFormat="1" applyFont="1" applyBorder="1" applyAlignment="1">
      <alignment vertical="center" wrapText="1"/>
    </xf>
    <xf numFmtId="0" fontId="8" fillId="0" borderId="0" xfId="3" applyFont="1" applyBorder="1" applyAlignment="1"/>
    <xf numFmtId="165" fontId="8" fillId="0" borderId="0" xfId="3" applyNumberFormat="1" applyFont="1" applyBorder="1" applyAlignment="1"/>
    <xf numFmtId="0" fontId="0" fillId="0" borderId="0" xfId="0" applyFill="1" applyBorder="1"/>
    <xf numFmtId="0" fontId="7" fillId="6" borderId="0" xfId="1" applyFont="1" applyFill="1" applyBorder="1" applyAlignment="1">
      <alignment vertical="center" wrapText="1"/>
    </xf>
    <xf numFmtId="0" fontId="8" fillId="6" borderId="0" xfId="3" applyFont="1" applyFill="1" applyBorder="1" applyAlignment="1"/>
    <xf numFmtId="166" fontId="8" fillId="6" borderId="0" xfId="1" applyNumberFormat="1" applyFont="1" applyFill="1" applyBorder="1" applyAlignment="1">
      <alignment horizontal="right" vertical="top"/>
    </xf>
    <xf numFmtId="0" fontId="0" fillId="6" borderId="0" xfId="0" applyFill="1" applyBorder="1"/>
    <xf numFmtId="0" fontId="0" fillId="0" borderId="0" xfId="0" applyFill="1"/>
    <xf numFmtId="165" fontId="0" fillId="0" borderId="0" xfId="0" applyNumberFormat="1" applyFill="1" applyBorder="1"/>
    <xf numFmtId="165" fontId="0" fillId="0" borderId="0" xfId="0" applyNumberFormat="1" applyFill="1"/>
    <xf numFmtId="3" fontId="2" fillId="0" borderId="0" xfId="0" applyNumberFormat="1" applyFont="1"/>
    <xf numFmtId="0" fontId="11" fillId="0" borderId="0" xfId="0" applyFont="1" applyBorder="1" applyAlignment="1">
      <alignment horizontal="center"/>
    </xf>
    <xf numFmtId="0" fontId="0" fillId="4" borderId="0" xfId="0" applyFill="1"/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/>
    <xf numFmtId="0" fontId="12" fillId="0" borderId="0" xfId="1" applyFont="1" applyFill="1" applyBorder="1" applyAlignment="1">
      <alignment horizontal="left" vertical="center" wrapText="1"/>
    </xf>
    <xf numFmtId="165" fontId="12" fillId="0" borderId="0" xfId="2" applyNumberFormat="1" applyFont="1" applyFill="1" applyBorder="1" applyAlignment="1">
      <alignment vertical="center" wrapText="1"/>
    </xf>
    <xf numFmtId="165" fontId="0" fillId="0" borderId="0" xfId="0" applyNumberFormat="1" applyFont="1" applyFill="1"/>
    <xf numFmtId="165" fontId="12" fillId="0" borderId="0" xfId="3" applyNumberFormat="1" applyFont="1" applyFill="1" applyBorder="1" applyAlignment="1"/>
    <xf numFmtId="165" fontId="0" fillId="7" borderId="0" xfId="0" applyNumberFormat="1" applyFont="1" applyFill="1"/>
    <xf numFmtId="165" fontId="0" fillId="7" borderId="0" xfId="0" applyNumberFormat="1" applyFont="1" applyFill="1" applyBorder="1"/>
    <xf numFmtId="165" fontId="0" fillId="8" borderId="0" xfId="0" applyNumberFormat="1" applyFont="1" applyFill="1"/>
    <xf numFmtId="165" fontId="12" fillId="8" borderId="0" xfId="3" applyNumberFormat="1" applyFont="1" applyFill="1" applyBorder="1" applyAlignment="1"/>
    <xf numFmtId="0" fontId="0" fillId="0" borderId="0" xfId="0" applyAlignment="1">
      <alignment horizontal="right"/>
    </xf>
    <xf numFmtId="0" fontId="0" fillId="0" borderId="35" xfId="0" applyFill="1" applyBorder="1"/>
    <xf numFmtId="165" fontId="12" fillId="0" borderId="35" xfId="3" applyNumberFormat="1" applyFont="1" applyFill="1" applyBorder="1" applyAlignment="1"/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8" fillId="0" borderId="5" xfId="3" applyFont="1" applyBorder="1" applyAlignment="1">
      <alignment horizontal="left" vertical="top" wrapText="1"/>
    </xf>
    <xf numFmtId="0" fontId="8" fillId="0" borderId="18" xfId="3" applyFont="1" applyBorder="1" applyAlignment="1">
      <alignment horizontal="left" vertical="top" wrapText="1"/>
    </xf>
    <xf numFmtId="0" fontId="8" fillId="0" borderId="10" xfId="3" applyFont="1" applyBorder="1" applyAlignment="1">
      <alignment horizontal="left" vertical="top" wrapText="1"/>
    </xf>
    <xf numFmtId="0" fontId="8" fillId="0" borderId="11" xfId="3" applyFont="1" applyBorder="1" applyAlignment="1">
      <alignment horizontal="left" vertical="top" wrapText="1"/>
    </xf>
    <xf numFmtId="0" fontId="7" fillId="0" borderId="0" xfId="3" applyFont="1" applyBorder="1" applyAlignment="1">
      <alignment horizontal="center" vertical="center" wrapText="1"/>
    </xf>
    <xf numFmtId="0" fontId="8" fillId="0" borderId="0" xfId="3" applyFont="1" applyBorder="1" applyAlignment="1">
      <alignment horizontal="left" vertical="top" wrapText="1"/>
    </xf>
    <xf numFmtId="0" fontId="8" fillId="0" borderId="5" xfId="3" applyFont="1" applyBorder="1" applyAlignment="1">
      <alignment horizontal="left" wrapText="1"/>
    </xf>
    <xf numFmtId="0" fontId="8" fillId="0" borderId="6" xfId="3" applyFont="1" applyBorder="1" applyAlignment="1">
      <alignment horizontal="left" wrapText="1"/>
    </xf>
    <xf numFmtId="0" fontId="8" fillId="0" borderId="10" xfId="3" applyFont="1" applyBorder="1" applyAlignment="1">
      <alignment horizontal="left" wrapText="1"/>
    </xf>
    <xf numFmtId="0" fontId="8" fillId="0" borderId="11" xfId="3" applyFont="1" applyBorder="1" applyAlignment="1">
      <alignment horizontal="left" wrapText="1"/>
    </xf>
    <xf numFmtId="0" fontId="8" fillId="0" borderId="7" xfId="3" applyFont="1" applyBorder="1" applyAlignment="1">
      <alignment horizontal="center" wrapText="1"/>
    </xf>
    <xf numFmtId="0" fontId="8" fillId="0" borderId="8" xfId="3" applyFont="1" applyBorder="1" applyAlignment="1">
      <alignment horizontal="center" wrapText="1"/>
    </xf>
    <xf numFmtId="0" fontId="8" fillId="0" borderId="9" xfId="3" applyFont="1" applyBorder="1" applyAlignment="1">
      <alignment horizontal="center" wrapText="1"/>
    </xf>
    <xf numFmtId="0" fontId="8" fillId="0" borderId="14" xfId="3" applyFont="1" applyBorder="1" applyAlignment="1">
      <alignment horizontal="center" wrapText="1"/>
    </xf>
    <xf numFmtId="0" fontId="7" fillId="0" borderId="0" xfId="4" applyFont="1" applyBorder="1" applyAlignment="1">
      <alignment horizontal="center" vertical="center" wrapText="1"/>
    </xf>
    <xf numFmtId="0" fontId="8" fillId="0" borderId="33" xfId="4" applyFont="1" applyBorder="1" applyAlignment="1">
      <alignment horizontal="left" wrapText="1"/>
    </xf>
    <xf numFmtId="0" fontId="8" fillId="0" borderId="34" xfId="4" applyFont="1" applyBorder="1" applyAlignment="1">
      <alignment horizontal="left" wrapText="1"/>
    </xf>
    <xf numFmtId="0" fontId="8" fillId="0" borderId="5" xfId="4" applyFont="1" applyBorder="1" applyAlignment="1">
      <alignment horizontal="left" vertical="top" wrapText="1"/>
    </xf>
    <xf numFmtId="0" fontId="8" fillId="0" borderId="18" xfId="4" applyFont="1" applyBorder="1" applyAlignment="1">
      <alignment horizontal="left" vertical="top" wrapText="1"/>
    </xf>
    <xf numFmtId="0" fontId="8" fillId="0" borderId="10" xfId="4" applyFont="1" applyBorder="1" applyAlignment="1">
      <alignment horizontal="left" vertical="top" wrapText="1"/>
    </xf>
    <xf numFmtId="0" fontId="8" fillId="0" borderId="26" xfId="4" applyFont="1" applyBorder="1" applyAlignment="1">
      <alignment horizontal="left" wrapText="1"/>
    </xf>
  </cellXfs>
  <cellStyles count="5">
    <cellStyle name="Normal" xfId="0" builtinId="0"/>
    <cellStyle name="Normal_Sheet1" xfId="1"/>
    <cellStyle name="Normal_Sheet1_1" xfId="2"/>
    <cellStyle name="Normal_Sheet2" xfId="3"/>
    <cellStyle name="Normal_Sheet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/>
                </a:solidFill>
                <a:latin typeface="Adobe Fan Heiti Std B" panose="020B0700000000000000" pitchFamily="34" charset="-128"/>
                <a:ea typeface="Adobe Fan Heiti Std B" panose="020B0700000000000000" pitchFamily="34" charset="-128"/>
                <a:cs typeface="+mn-cs"/>
              </a:defRPr>
            </a:pPr>
            <a:r>
              <a:rPr lang="en-US" sz="1600"/>
              <a:t>Carbon Emission through Transport Modes                                 </a:t>
            </a:r>
            <a:r>
              <a:rPr lang="en-US" sz="1400"/>
              <a:t>(in billions)</a:t>
            </a:r>
          </a:p>
        </c:rich>
      </c:tx>
      <c:layout>
        <c:manualLayout>
          <c:xMode val="edge"/>
          <c:yMode val="edge"/>
          <c:x val="0.1562487152226108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/>
              </a:solidFill>
              <a:latin typeface="Adobe Fan Heiti Std B" panose="020B0700000000000000" pitchFamily="34" charset="-128"/>
              <a:ea typeface="Adobe Fan Heiti Std B" panose="020B0700000000000000" pitchFamily="34" charset="-128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498258175113078E-2"/>
          <c:y val="0.17963209664556379"/>
          <c:w val="0.70513662594621007"/>
          <c:h val="0.709004752254493"/>
        </c:manualLayout>
      </c:layout>
      <c:scatterChart>
        <c:scatterStyle val="lineMarker"/>
        <c:varyColors val="0"/>
        <c:ser>
          <c:idx val="0"/>
          <c:order val="0"/>
          <c:tx>
            <c:strRef>
              <c:f>Comparison!$C$21</c:f>
              <c:strCache>
                <c:ptCount val="1"/>
                <c:pt idx="0">
                  <c:v>Scenario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Comparison!$D$20:$L$20</c:f>
              <c:numCache>
                <c:formatCode>General</c:formatCode>
                <c:ptCount val="9"/>
                <c:pt idx="0">
                  <c:v>2010</c:v>
                </c:pt>
                <c:pt idx="2">
                  <c:v>2020</c:v>
                </c:pt>
                <c:pt idx="4">
                  <c:v>2030</c:v>
                </c:pt>
                <c:pt idx="6">
                  <c:v>2040</c:v>
                </c:pt>
                <c:pt idx="8">
                  <c:v>2050</c:v>
                </c:pt>
              </c:numCache>
            </c:numRef>
          </c:xVal>
          <c:yVal>
            <c:numRef>
              <c:f>Comparison!$D$21:$L$21</c:f>
              <c:numCache>
                <c:formatCode>General</c:formatCode>
                <c:ptCount val="9"/>
                <c:pt idx="0">
                  <c:v>18.535418859556998</c:v>
                </c:pt>
                <c:pt idx="2">
                  <c:v>19.530233224655952</c:v>
                </c:pt>
                <c:pt idx="4">
                  <c:v>19.839992143442277</c:v>
                </c:pt>
                <c:pt idx="6">
                  <c:v>19.642938168193638</c:v>
                </c:pt>
                <c:pt idx="8">
                  <c:v>19.182318301842713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Comparison!$C$22</c:f>
              <c:strCache>
                <c:ptCount val="1"/>
                <c:pt idx="0">
                  <c:v>Scenario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Comparison!$D$20:$L$20</c:f>
              <c:numCache>
                <c:formatCode>General</c:formatCode>
                <c:ptCount val="9"/>
                <c:pt idx="0">
                  <c:v>2010</c:v>
                </c:pt>
                <c:pt idx="2">
                  <c:v>2020</c:v>
                </c:pt>
                <c:pt idx="4">
                  <c:v>2030</c:v>
                </c:pt>
                <c:pt idx="6">
                  <c:v>2040</c:v>
                </c:pt>
                <c:pt idx="8">
                  <c:v>2050</c:v>
                </c:pt>
              </c:numCache>
            </c:numRef>
          </c:xVal>
          <c:yVal>
            <c:numRef>
              <c:f>Comparison!$D$22:$L$22</c:f>
              <c:numCache>
                <c:formatCode>General</c:formatCode>
                <c:ptCount val="9"/>
                <c:pt idx="0">
                  <c:v>18.535418859556998</c:v>
                </c:pt>
                <c:pt idx="2">
                  <c:v>17.915497517318901</c:v>
                </c:pt>
                <c:pt idx="4">
                  <c:v>16.547588663351068</c:v>
                </c:pt>
                <c:pt idx="6">
                  <c:v>14.676185273094246</c:v>
                </c:pt>
                <c:pt idx="8">
                  <c:v>12.648260142979858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Comparison!$C$23</c:f>
              <c:strCache>
                <c:ptCount val="1"/>
                <c:pt idx="0">
                  <c:v>Scenario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Comparison!$D$20:$L$20</c:f>
              <c:numCache>
                <c:formatCode>General</c:formatCode>
                <c:ptCount val="9"/>
                <c:pt idx="0">
                  <c:v>2010</c:v>
                </c:pt>
                <c:pt idx="2">
                  <c:v>2020</c:v>
                </c:pt>
                <c:pt idx="4">
                  <c:v>2030</c:v>
                </c:pt>
                <c:pt idx="6">
                  <c:v>2040</c:v>
                </c:pt>
                <c:pt idx="8">
                  <c:v>2050</c:v>
                </c:pt>
              </c:numCache>
            </c:numRef>
          </c:xVal>
          <c:yVal>
            <c:numRef>
              <c:f>Comparison!$D$23:$L$23</c:f>
              <c:numCache>
                <c:formatCode>General</c:formatCode>
                <c:ptCount val="9"/>
                <c:pt idx="0">
                  <c:v>18.535418859556998</c:v>
                </c:pt>
                <c:pt idx="2">
                  <c:v>17.961630993012694</c:v>
                </c:pt>
                <c:pt idx="4">
                  <c:v>15.781358352795342</c:v>
                </c:pt>
                <c:pt idx="6">
                  <c:v>13.140482899536536</c:v>
                </c:pt>
                <c:pt idx="8">
                  <c:v>10.402495111627356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Comparison!$C$24</c:f>
              <c:strCache>
                <c:ptCount val="1"/>
                <c:pt idx="0">
                  <c:v>Scenario 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Comparison!$D$20:$L$20</c:f>
              <c:numCache>
                <c:formatCode>General</c:formatCode>
                <c:ptCount val="9"/>
                <c:pt idx="0">
                  <c:v>2010</c:v>
                </c:pt>
                <c:pt idx="2">
                  <c:v>2020</c:v>
                </c:pt>
                <c:pt idx="4">
                  <c:v>2030</c:v>
                </c:pt>
                <c:pt idx="6">
                  <c:v>2040</c:v>
                </c:pt>
                <c:pt idx="8">
                  <c:v>2050</c:v>
                </c:pt>
              </c:numCache>
            </c:numRef>
          </c:xVal>
          <c:yVal>
            <c:numRef>
              <c:f>Comparison!$D$24:$L$24</c:f>
              <c:numCache>
                <c:formatCode>General</c:formatCode>
                <c:ptCount val="9"/>
                <c:pt idx="0">
                  <c:v>18.535418859556998</c:v>
                </c:pt>
                <c:pt idx="2">
                  <c:v>16.674292366712468</c:v>
                </c:pt>
                <c:pt idx="4">
                  <c:v>13.960118464039068</c:v>
                </c:pt>
                <c:pt idx="6">
                  <c:v>11.612765958410439</c:v>
                </c:pt>
                <c:pt idx="8">
                  <c:v>9.9319467742810534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537024"/>
        <c:axId val="515534848"/>
      </c:scatterChart>
      <c:valAx>
        <c:axId val="515537024"/>
        <c:scaling>
          <c:orientation val="minMax"/>
          <c:max val="2050"/>
          <c:min val="20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dobe Fan Heiti Std B" panose="020B0700000000000000" pitchFamily="34" charset="-128"/>
                <a:ea typeface="Adobe Fan Heiti Std B" panose="020B0700000000000000" pitchFamily="34" charset="-128"/>
                <a:cs typeface="+mn-cs"/>
              </a:defRPr>
            </a:pPr>
            <a:endParaRPr lang="en-US"/>
          </a:p>
        </c:txPr>
        <c:crossAx val="515534848"/>
        <c:crosses val="autoZero"/>
        <c:crossBetween val="midCat"/>
        <c:majorUnit val="10"/>
      </c:valAx>
      <c:valAx>
        <c:axId val="51553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dobe Fan Heiti Std B" panose="020B0700000000000000" pitchFamily="34" charset="-128"/>
                    <a:ea typeface="Adobe Fan Heiti Std B" panose="020B0700000000000000" pitchFamily="34" charset="-128"/>
                    <a:cs typeface="+mn-cs"/>
                  </a:defRPr>
                </a:pPr>
                <a:r>
                  <a:rPr lang="en-US"/>
                  <a:t>CO</a:t>
                </a:r>
                <a:r>
                  <a:rPr lang="en-US" baseline="-25000"/>
                  <a:t>2  </a:t>
                </a:r>
                <a:r>
                  <a:rPr lang="en-US" baseline="0"/>
                  <a:t>Emission (g-</a:t>
                </a:r>
                <a:r>
                  <a:rPr lang="en-US" sz="1400" b="0" i="0" u="none" strike="noStrike" baseline="0">
                    <a:effectLst/>
                  </a:rPr>
                  <a:t>CO</a:t>
                </a:r>
                <a:r>
                  <a:rPr lang="en-US" sz="1400" b="0" i="0" u="none" strike="noStrike" baseline="-25000">
                    <a:effectLst/>
                  </a:rPr>
                  <a:t>2 </a:t>
                </a:r>
                <a:r>
                  <a:rPr lang="en-US" sz="1400" b="0" i="0" u="none" strike="noStrike" baseline="0">
                    <a:effectLst/>
                  </a:rPr>
                  <a:t>/passenger-km)</a:t>
                </a:r>
                <a:endParaRPr lang="en-US" baseline="-250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dobe Fan Heiti Std B" panose="020B0700000000000000" pitchFamily="34" charset="-128"/>
                  <a:ea typeface="Adobe Fan Heiti Std B" panose="020B0700000000000000" pitchFamily="34" charset="-128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dobe Fan Heiti Std B" panose="020B0700000000000000" pitchFamily="34" charset="-128"/>
                <a:ea typeface="Adobe Fan Heiti Std B" panose="020B0700000000000000" pitchFamily="34" charset="-128"/>
                <a:cs typeface="+mn-cs"/>
              </a:defRPr>
            </a:pPr>
            <a:endParaRPr lang="en-US"/>
          </a:p>
        </c:txPr>
        <c:crossAx val="515537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617608013559106"/>
          <c:y val="0.27606033059991247"/>
          <c:w val="0.18190848217574393"/>
          <c:h val="0.530812516950434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Adobe Fan Heiti Std B" panose="020B0700000000000000" pitchFamily="34" charset="-128"/>
              <a:ea typeface="Adobe Fan Heiti Std B" panose="020B0700000000000000" pitchFamily="34" charset="-128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  <a:latin typeface="Adobe Fan Heiti Std B" panose="020B0700000000000000" pitchFamily="34" charset="-128"/>
          <a:ea typeface="Adobe Fan Heiti Std B" panose="020B0700000000000000" pitchFamily="34" charset="-128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Adobe Fan Heiti Std B" panose="020B0700000000000000" pitchFamily="34" charset="-128"/>
                <a:ea typeface="Adobe Fan Heiti Std B" panose="020B0700000000000000" pitchFamily="34" charset="-128"/>
                <a:cs typeface="+mn-cs"/>
              </a:defRPr>
            </a:pPr>
            <a:r>
              <a:rPr lang="en-US" sz="1600"/>
              <a:t>Age-wise Share of Carbon Emission through Transport Modes</a:t>
            </a:r>
          </a:p>
        </c:rich>
      </c:tx>
      <c:layout>
        <c:manualLayout>
          <c:xMode val="edge"/>
          <c:yMode val="edge"/>
          <c:x val="6.9292627369171314E-2"/>
          <c:y val="5.070949369565200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Adobe Fan Heiti Std B" panose="020B0700000000000000" pitchFamily="34" charset="-128"/>
              <a:ea typeface="Adobe Fan Heiti Std B" panose="020B0700000000000000" pitchFamily="34" charset="-128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138738171727602E-2"/>
          <c:y val="0.18080769442698674"/>
          <c:w val="0.73226251075814752"/>
          <c:h val="0.698344394923939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Comparison!$M$26</c:f>
              <c:strCache>
                <c:ptCount val="1"/>
                <c:pt idx="0">
                  <c:v>0-14</c:v>
                </c:pt>
              </c:strCache>
            </c:strRef>
          </c:tx>
          <c:spPr>
            <a:solidFill>
              <a:schemeClr val="accent4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Comparison!$L$27:$L$49</c:f>
              <c:numCache>
                <c:formatCode>General</c:formatCode>
                <c:ptCount val="23"/>
                <c:pt idx="0">
                  <c:v>2010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  <c:pt idx="6">
                  <c:v>2010</c:v>
                </c:pt>
                <c:pt idx="7">
                  <c:v>2020</c:v>
                </c:pt>
                <c:pt idx="8">
                  <c:v>2030</c:v>
                </c:pt>
                <c:pt idx="9">
                  <c:v>2040</c:v>
                </c:pt>
                <c:pt idx="10">
                  <c:v>2050</c:v>
                </c:pt>
                <c:pt idx="12">
                  <c:v>2010</c:v>
                </c:pt>
                <c:pt idx="13">
                  <c:v>2020</c:v>
                </c:pt>
                <c:pt idx="14">
                  <c:v>2030</c:v>
                </c:pt>
                <c:pt idx="15">
                  <c:v>2040</c:v>
                </c:pt>
                <c:pt idx="16">
                  <c:v>2050</c:v>
                </c:pt>
                <c:pt idx="18">
                  <c:v>2010</c:v>
                </c:pt>
                <c:pt idx="19">
                  <c:v>2020</c:v>
                </c:pt>
                <c:pt idx="20">
                  <c:v>2030</c:v>
                </c:pt>
                <c:pt idx="21">
                  <c:v>2040</c:v>
                </c:pt>
                <c:pt idx="22">
                  <c:v>2050</c:v>
                </c:pt>
              </c:numCache>
            </c:numRef>
          </c:cat>
          <c:val>
            <c:numRef>
              <c:f>Comparison!$M$27:$M$49</c:f>
              <c:numCache>
                <c:formatCode>0.0</c:formatCode>
                <c:ptCount val="23"/>
                <c:pt idx="0">
                  <c:v>5.7399577266812374</c:v>
                </c:pt>
                <c:pt idx="1">
                  <c:v>5.1525711905474463</c:v>
                </c:pt>
                <c:pt idx="2">
                  <c:v>4.7305808982212678</c:v>
                </c:pt>
                <c:pt idx="3">
                  <c:v>4.580883557327323</c:v>
                </c:pt>
                <c:pt idx="4">
                  <c:v>4.4737791323156246</c:v>
                </c:pt>
                <c:pt idx="6">
                  <c:v>5.7399577266812374</c:v>
                </c:pt>
                <c:pt idx="7">
                  <c:v>4.7687671954479418</c:v>
                </c:pt>
                <c:pt idx="8">
                  <c:v>3.9588280390590236</c:v>
                </c:pt>
                <c:pt idx="9">
                  <c:v>3.3535951207715109</c:v>
                </c:pt>
                <c:pt idx="10">
                  <c:v>2.6866100923157785</c:v>
                </c:pt>
                <c:pt idx="12">
                  <c:v>5.7399577266812374</c:v>
                </c:pt>
                <c:pt idx="13">
                  <c:v>4.765785791042469</c:v>
                </c:pt>
                <c:pt idx="14">
                  <c:v>4.1164285310113211</c:v>
                </c:pt>
                <c:pt idx="15">
                  <c:v>3.6544910367674475</c:v>
                </c:pt>
                <c:pt idx="16">
                  <c:v>3.0952867150886902</c:v>
                </c:pt>
                <c:pt idx="18">
                  <c:v>5.7399577266812374</c:v>
                </c:pt>
                <c:pt idx="19">
                  <c:v>4.7494348692869979</c:v>
                </c:pt>
                <c:pt idx="20">
                  <c:v>4.1530980218155555</c:v>
                </c:pt>
                <c:pt idx="21">
                  <c:v>3.8854111400765499</c:v>
                </c:pt>
                <c:pt idx="22">
                  <c:v>3.7851150010725649</c:v>
                </c:pt>
              </c:numCache>
            </c:numRef>
          </c:val>
        </c:ser>
        <c:ser>
          <c:idx val="1"/>
          <c:order val="1"/>
          <c:tx>
            <c:strRef>
              <c:f>Comparison!$N$26</c:f>
              <c:strCache>
                <c:ptCount val="1"/>
                <c:pt idx="0">
                  <c:v>15-64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Comparison!$L$27:$L$49</c:f>
              <c:numCache>
                <c:formatCode>General</c:formatCode>
                <c:ptCount val="23"/>
                <c:pt idx="0">
                  <c:v>2010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  <c:pt idx="6">
                  <c:v>2010</c:v>
                </c:pt>
                <c:pt idx="7">
                  <c:v>2020</c:v>
                </c:pt>
                <c:pt idx="8">
                  <c:v>2030</c:v>
                </c:pt>
                <c:pt idx="9">
                  <c:v>2040</c:v>
                </c:pt>
                <c:pt idx="10">
                  <c:v>2050</c:v>
                </c:pt>
                <c:pt idx="12">
                  <c:v>2010</c:v>
                </c:pt>
                <c:pt idx="13">
                  <c:v>2020</c:v>
                </c:pt>
                <c:pt idx="14">
                  <c:v>2030</c:v>
                </c:pt>
                <c:pt idx="15">
                  <c:v>2040</c:v>
                </c:pt>
                <c:pt idx="16">
                  <c:v>2050</c:v>
                </c:pt>
                <c:pt idx="18">
                  <c:v>2010</c:v>
                </c:pt>
                <c:pt idx="19">
                  <c:v>2020</c:v>
                </c:pt>
                <c:pt idx="20">
                  <c:v>2030</c:v>
                </c:pt>
                <c:pt idx="21">
                  <c:v>2040</c:v>
                </c:pt>
                <c:pt idx="22">
                  <c:v>2050</c:v>
                </c:pt>
              </c:numCache>
            </c:numRef>
          </c:cat>
          <c:val>
            <c:numRef>
              <c:f>Comparison!$N$27:$N$49</c:f>
              <c:numCache>
                <c:formatCode>0.0</c:formatCode>
                <c:ptCount val="23"/>
                <c:pt idx="0">
                  <c:v>67.660970308551327</c:v>
                </c:pt>
                <c:pt idx="1">
                  <c:v>62.444144082769448</c:v>
                </c:pt>
                <c:pt idx="2">
                  <c:v>61.070859687003534</c:v>
                </c:pt>
                <c:pt idx="3">
                  <c:v>57.26207253454767</c:v>
                </c:pt>
                <c:pt idx="4">
                  <c:v>54.713169025997267</c:v>
                </c:pt>
                <c:pt idx="6">
                  <c:v>67.660970308551327</c:v>
                </c:pt>
                <c:pt idx="7">
                  <c:v>63.540726469495624</c:v>
                </c:pt>
                <c:pt idx="8">
                  <c:v>63.473156157782562</c:v>
                </c:pt>
                <c:pt idx="9">
                  <c:v>61.334980710321304</c:v>
                </c:pt>
                <c:pt idx="10">
                  <c:v>60.88261279065145</c:v>
                </c:pt>
                <c:pt idx="12">
                  <c:v>67.660970308551327</c:v>
                </c:pt>
                <c:pt idx="13">
                  <c:v>63.496555379423967</c:v>
                </c:pt>
                <c:pt idx="14">
                  <c:v>62.887755592897442</c:v>
                </c:pt>
                <c:pt idx="15">
                  <c:v>60.17597797793065</c:v>
                </c:pt>
                <c:pt idx="16">
                  <c:v>59.215559492840406</c:v>
                </c:pt>
                <c:pt idx="18">
                  <c:v>67.660970308551327</c:v>
                </c:pt>
                <c:pt idx="19">
                  <c:v>63.408862573560384</c:v>
                </c:pt>
                <c:pt idx="20">
                  <c:v>62.789579892015638</c:v>
                </c:pt>
                <c:pt idx="21">
                  <c:v>60.120926071255262</c:v>
                </c:pt>
                <c:pt idx="22">
                  <c:v>59.046289616655201</c:v>
                </c:pt>
              </c:numCache>
            </c:numRef>
          </c:val>
        </c:ser>
        <c:ser>
          <c:idx val="2"/>
          <c:order val="2"/>
          <c:tx>
            <c:strRef>
              <c:f>Comparison!$O$26</c:f>
              <c:strCache>
                <c:ptCount val="1"/>
                <c:pt idx="0">
                  <c:v>Above 65</c:v>
                </c:pt>
              </c:strCache>
            </c:strRef>
          </c:tx>
          <c:spPr>
            <a:solidFill>
              <a:schemeClr val="accent4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Comparison!$L$27:$L$49</c:f>
              <c:numCache>
                <c:formatCode>General</c:formatCode>
                <c:ptCount val="23"/>
                <c:pt idx="0">
                  <c:v>2010</c:v>
                </c:pt>
                <c:pt idx="1">
                  <c:v>2020</c:v>
                </c:pt>
                <c:pt idx="2">
                  <c:v>2030</c:v>
                </c:pt>
                <c:pt idx="3">
                  <c:v>2040</c:v>
                </c:pt>
                <c:pt idx="4">
                  <c:v>2050</c:v>
                </c:pt>
                <c:pt idx="6">
                  <c:v>2010</c:v>
                </c:pt>
                <c:pt idx="7">
                  <c:v>2020</c:v>
                </c:pt>
                <c:pt idx="8">
                  <c:v>2030</c:v>
                </c:pt>
                <c:pt idx="9">
                  <c:v>2040</c:v>
                </c:pt>
                <c:pt idx="10">
                  <c:v>2050</c:v>
                </c:pt>
                <c:pt idx="12">
                  <c:v>2010</c:v>
                </c:pt>
                <c:pt idx="13">
                  <c:v>2020</c:v>
                </c:pt>
                <c:pt idx="14">
                  <c:v>2030</c:v>
                </c:pt>
                <c:pt idx="15">
                  <c:v>2040</c:v>
                </c:pt>
                <c:pt idx="16">
                  <c:v>2050</c:v>
                </c:pt>
                <c:pt idx="18">
                  <c:v>2010</c:v>
                </c:pt>
                <c:pt idx="19">
                  <c:v>2020</c:v>
                </c:pt>
                <c:pt idx="20">
                  <c:v>2030</c:v>
                </c:pt>
                <c:pt idx="21">
                  <c:v>2040</c:v>
                </c:pt>
                <c:pt idx="22">
                  <c:v>2050</c:v>
                </c:pt>
              </c:numCache>
            </c:numRef>
          </c:cat>
          <c:val>
            <c:numRef>
              <c:f>Comparison!$O$27:$O$49</c:f>
              <c:numCache>
                <c:formatCode>0.0</c:formatCode>
                <c:ptCount val="23"/>
                <c:pt idx="0">
                  <c:v>26.599071964767447</c:v>
                </c:pt>
                <c:pt idx="1">
                  <c:v>32.403284726683104</c:v>
                </c:pt>
                <c:pt idx="2">
                  <c:v>34.198559414775218</c:v>
                </c:pt>
                <c:pt idx="3">
                  <c:v>38.157043908125011</c:v>
                </c:pt>
                <c:pt idx="4">
                  <c:v>40.813051841687113</c:v>
                </c:pt>
                <c:pt idx="6">
                  <c:v>26.599071964767447</c:v>
                </c:pt>
                <c:pt idx="7">
                  <c:v>31.690506335056444</c:v>
                </c:pt>
                <c:pt idx="8">
                  <c:v>32.56801580315841</c:v>
                </c:pt>
                <c:pt idx="9">
                  <c:v>35.311424168907187</c:v>
                </c:pt>
                <c:pt idx="10">
                  <c:v>36.43077711703279</c:v>
                </c:pt>
                <c:pt idx="12">
                  <c:v>26.599071964767447</c:v>
                </c:pt>
                <c:pt idx="13">
                  <c:v>31.737658829533576</c:v>
                </c:pt>
                <c:pt idx="14">
                  <c:v>32.995815876091228</c:v>
                </c:pt>
                <c:pt idx="15">
                  <c:v>36.169530985301904</c:v>
                </c:pt>
                <c:pt idx="16">
                  <c:v>37.689153792070904</c:v>
                </c:pt>
                <c:pt idx="18">
                  <c:v>26.59907196476745</c:v>
                </c:pt>
                <c:pt idx="19">
                  <c:v>31.841702557152622</c:v>
                </c:pt>
                <c:pt idx="20">
                  <c:v>33.057322086168803</c:v>
                </c:pt>
                <c:pt idx="21">
                  <c:v>35.993662788668189</c:v>
                </c:pt>
                <c:pt idx="22">
                  <c:v>37.16859538227223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5528320"/>
        <c:axId val="515527232"/>
      </c:barChart>
      <c:catAx>
        <c:axId val="515528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dobe Fan Heiti Std B" panose="020B0700000000000000" pitchFamily="34" charset="-128"/>
                    <a:ea typeface="Adobe Fan Heiti Std B" panose="020B0700000000000000" pitchFamily="34" charset="-128"/>
                    <a:cs typeface="+mn-cs"/>
                  </a:defRPr>
                </a:pPr>
                <a:r>
                  <a:rPr lang="en-US"/>
                  <a:t>Age Group</a:t>
                </a:r>
              </a:p>
            </c:rich>
          </c:tx>
          <c:layout>
            <c:manualLayout>
              <c:xMode val="edge"/>
              <c:yMode val="edge"/>
              <c:x val="0.86432954627158687"/>
              <c:y val="0.600028868475544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dobe Fan Heiti Std B" panose="020B0700000000000000" pitchFamily="34" charset="-128"/>
                  <a:ea typeface="Adobe Fan Heiti Std B" panose="020B0700000000000000" pitchFamily="34" charset="-128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dobe Fan Heiti Std B" panose="020B0700000000000000" pitchFamily="34" charset="-128"/>
                <a:ea typeface="Adobe Fan Heiti Std B" panose="020B0700000000000000" pitchFamily="34" charset="-128"/>
                <a:cs typeface="+mn-cs"/>
              </a:defRPr>
            </a:pPr>
            <a:endParaRPr lang="en-US"/>
          </a:p>
        </c:txPr>
        <c:crossAx val="515527232"/>
        <c:crosses val="autoZero"/>
        <c:auto val="1"/>
        <c:lblAlgn val="ctr"/>
        <c:lblOffset val="100"/>
        <c:noMultiLvlLbl val="0"/>
      </c:catAx>
      <c:valAx>
        <c:axId val="51552723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dobe Fan Heiti Std B" panose="020B0700000000000000" pitchFamily="34" charset="-128"/>
                    <a:ea typeface="Adobe Fan Heiti Std B" panose="020B0700000000000000" pitchFamily="34" charset="-128"/>
                    <a:cs typeface="+mn-cs"/>
                  </a:defRPr>
                </a:pPr>
                <a:r>
                  <a:rPr lang="en-US"/>
                  <a:t>Percentage share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dobe Fan Heiti Std B" panose="020B0700000000000000" pitchFamily="34" charset="-128"/>
                  <a:ea typeface="Adobe Fan Heiti Std B" panose="020B0700000000000000" pitchFamily="34" charset="-128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dobe Fan Heiti Std B" panose="020B0700000000000000" pitchFamily="34" charset="-128"/>
                <a:ea typeface="Adobe Fan Heiti Std B" panose="020B0700000000000000" pitchFamily="34" charset="-128"/>
                <a:cs typeface="+mn-cs"/>
              </a:defRPr>
            </a:pPr>
            <a:endParaRPr lang="en-US"/>
          </a:p>
        </c:txPr>
        <c:crossAx val="51552832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832510308220221"/>
          <c:y val="0.67282434311241301"/>
          <c:w val="0.13347425272731131"/>
          <c:h val="0.171961126318180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Adobe Fan Heiti Std B" panose="020B0700000000000000" pitchFamily="34" charset="-128"/>
              <a:ea typeface="Adobe Fan Heiti Std B" panose="020B0700000000000000" pitchFamily="34" charset="-128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  <a:latin typeface="Adobe Fan Heiti Std B" panose="020B0700000000000000" pitchFamily="34" charset="-128"/>
          <a:ea typeface="Adobe Fan Heiti Std B" panose="020B0700000000000000" pitchFamily="34" charset="-128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Adobe Fan Heiti Std B" panose="020B0700000000000000" pitchFamily="34" charset="-128"/>
                <a:ea typeface="Adobe Fan Heiti Std B" panose="020B0700000000000000" pitchFamily="34" charset="-128"/>
                <a:cs typeface="+mn-cs"/>
              </a:defRPr>
            </a:pPr>
            <a:r>
              <a:rPr lang="en-US" sz="1600"/>
              <a:t>Changing</a:t>
            </a:r>
            <a:r>
              <a:rPr lang="en-US" sz="1600" baseline="0"/>
              <a:t> Age Pattern</a:t>
            </a:r>
            <a:endParaRPr lang="en-US" sz="1600"/>
          </a:p>
        </c:rich>
      </c:tx>
      <c:layout>
        <c:manualLayout>
          <c:xMode val="edge"/>
          <c:yMode val="edge"/>
          <c:x val="0.27898606425055583"/>
          <c:y val="1.19165764582871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Adobe Fan Heiti Std B" panose="020B0700000000000000" pitchFamily="34" charset="-128"/>
              <a:ea typeface="Adobe Fan Heiti Std B" panose="020B0700000000000000" pitchFamily="34" charset="-128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61953472505868"/>
          <c:y val="0.18754636835750549"/>
          <c:w val="0.64788082480602782"/>
          <c:h val="0.6495228228651226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Comparison!$E$48</c:f>
              <c:strCache>
                <c:ptCount val="1"/>
                <c:pt idx="0">
                  <c:v>0-14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"/>
                  <c:y val="4.016219200816652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2.3751494286924036E-3"/>
                  <c:y val="-8.032438401633304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"/>
                  <c:y val="-4.016219200816652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0"/>
                  <c:y val="-8.032438401633304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bg2"/>
                    </a:solidFill>
                    <a:latin typeface="Adobe Fan Heiti Std B" panose="020B0700000000000000" pitchFamily="34" charset="-128"/>
                    <a:ea typeface="Adobe Fan Heiti Std B" panose="020B0700000000000000" pitchFamily="34" charset="-128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Comparison!$D$49:$D$54</c:f>
              <c:numCache>
                <c:formatCode>General</c:formatCode>
                <c:ptCount val="6"/>
                <c:pt idx="0">
                  <c:v>2000</c:v>
                </c:pt>
                <c:pt idx="1">
                  <c:v>2010</c:v>
                </c:pt>
                <c:pt idx="2">
                  <c:v>2020</c:v>
                </c:pt>
                <c:pt idx="3">
                  <c:v>2030</c:v>
                </c:pt>
                <c:pt idx="4">
                  <c:v>2040</c:v>
                </c:pt>
                <c:pt idx="5">
                  <c:v>2050</c:v>
                </c:pt>
              </c:numCache>
            </c:numRef>
          </c:cat>
          <c:val>
            <c:numRef>
              <c:f>Comparison!$E$49:$E$54</c:f>
              <c:numCache>
                <c:formatCode>General</c:formatCode>
                <c:ptCount val="6"/>
                <c:pt idx="0">
                  <c:v>14.6</c:v>
                </c:pt>
                <c:pt idx="1">
                  <c:v>13.4</c:v>
                </c:pt>
                <c:pt idx="2">
                  <c:v>12.2</c:v>
                </c:pt>
                <c:pt idx="3">
                  <c:v>11.3</c:v>
                </c:pt>
                <c:pt idx="4">
                  <c:v>11</c:v>
                </c:pt>
                <c:pt idx="5">
                  <c:v>10.8</c:v>
                </c:pt>
              </c:numCache>
            </c:numRef>
          </c:val>
        </c:ser>
        <c:ser>
          <c:idx val="1"/>
          <c:order val="1"/>
          <c:tx>
            <c:strRef>
              <c:f>Comparison!$F$48</c:f>
              <c:strCache>
                <c:ptCount val="1"/>
                <c:pt idx="0">
                  <c:v>15-64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dobe Fan Heiti Std B" panose="020B0700000000000000" pitchFamily="34" charset="-128"/>
                    <a:ea typeface="Adobe Fan Heiti Std B" panose="020B0700000000000000" pitchFamily="34" charset="-128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Comparison!$D$49:$D$54</c:f>
              <c:numCache>
                <c:formatCode>General</c:formatCode>
                <c:ptCount val="6"/>
                <c:pt idx="0">
                  <c:v>2000</c:v>
                </c:pt>
                <c:pt idx="1">
                  <c:v>2010</c:v>
                </c:pt>
                <c:pt idx="2">
                  <c:v>2020</c:v>
                </c:pt>
                <c:pt idx="3">
                  <c:v>2030</c:v>
                </c:pt>
                <c:pt idx="4">
                  <c:v>2040</c:v>
                </c:pt>
                <c:pt idx="5">
                  <c:v>2050</c:v>
                </c:pt>
              </c:numCache>
            </c:numRef>
          </c:cat>
          <c:val>
            <c:numRef>
              <c:f>Comparison!$F$49:$F$54</c:f>
              <c:numCache>
                <c:formatCode>General</c:formatCode>
                <c:ptCount val="6"/>
                <c:pt idx="0">
                  <c:v>68.099999999999994</c:v>
                </c:pt>
                <c:pt idx="1">
                  <c:v>64.099999999999994</c:v>
                </c:pt>
                <c:pt idx="2">
                  <c:v>60</c:v>
                </c:pt>
                <c:pt idx="3">
                  <c:v>59.2</c:v>
                </c:pt>
                <c:pt idx="4">
                  <c:v>55.8</c:v>
                </c:pt>
                <c:pt idx="5">
                  <c:v>53.6</c:v>
                </c:pt>
              </c:numCache>
            </c:numRef>
          </c:val>
        </c:ser>
        <c:ser>
          <c:idx val="2"/>
          <c:order val="2"/>
          <c:tx>
            <c:strRef>
              <c:f>Comparison!$G$48</c:f>
              <c:strCache>
                <c:ptCount val="1"/>
                <c:pt idx="0">
                  <c:v>Above 65</c:v>
                </c:pt>
              </c:strCache>
            </c:strRef>
          </c:tx>
          <c:spPr>
            <a:solidFill>
              <a:schemeClr val="accent2">
                <a:tint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dobe Fan Heiti Std B" panose="020B0700000000000000" pitchFamily="34" charset="-128"/>
                    <a:ea typeface="Adobe Fan Heiti Std B" panose="020B0700000000000000" pitchFamily="34" charset="-128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Comparison!$D$49:$D$54</c:f>
              <c:numCache>
                <c:formatCode>General</c:formatCode>
                <c:ptCount val="6"/>
                <c:pt idx="0">
                  <c:v>2000</c:v>
                </c:pt>
                <c:pt idx="1">
                  <c:v>2010</c:v>
                </c:pt>
                <c:pt idx="2">
                  <c:v>2020</c:v>
                </c:pt>
                <c:pt idx="3">
                  <c:v>2030</c:v>
                </c:pt>
                <c:pt idx="4">
                  <c:v>2040</c:v>
                </c:pt>
                <c:pt idx="5">
                  <c:v>2050</c:v>
                </c:pt>
              </c:numCache>
            </c:numRef>
          </c:cat>
          <c:val>
            <c:numRef>
              <c:f>Comparison!$G$49:$G$54</c:f>
              <c:numCache>
                <c:formatCode>General</c:formatCode>
                <c:ptCount val="6"/>
                <c:pt idx="0">
                  <c:v>17.399999999999999</c:v>
                </c:pt>
                <c:pt idx="1">
                  <c:v>22.5</c:v>
                </c:pt>
                <c:pt idx="2">
                  <c:v>27.8</c:v>
                </c:pt>
                <c:pt idx="3">
                  <c:v>29.6</c:v>
                </c:pt>
                <c:pt idx="4">
                  <c:v>33.200000000000003</c:v>
                </c:pt>
                <c:pt idx="5">
                  <c:v>35.700000000000003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15532672"/>
        <c:axId val="515529952"/>
      </c:barChart>
      <c:catAx>
        <c:axId val="51553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dobe Fan Heiti Std B" panose="020B0700000000000000" pitchFamily="34" charset="-128"/>
                <a:ea typeface="Adobe Fan Heiti Std B" panose="020B0700000000000000" pitchFamily="34" charset="-128"/>
                <a:cs typeface="+mn-cs"/>
              </a:defRPr>
            </a:pPr>
            <a:endParaRPr lang="en-US"/>
          </a:p>
        </c:txPr>
        <c:crossAx val="515529952"/>
        <c:crosses val="autoZero"/>
        <c:auto val="1"/>
        <c:lblAlgn val="ctr"/>
        <c:lblOffset val="100"/>
        <c:noMultiLvlLbl val="0"/>
      </c:catAx>
      <c:valAx>
        <c:axId val="51552995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dobe Fan Heiti Std B" panose="020B0700000000000000" pitchFamily="34" charset="-128"/>
                <a:ea typeface="Adobe Fan Heiti Std B" panose="020B0700000000000000" pitchFamily="34" charset="-128"/>
                <a:cs typeface="+mn-cs"/>
              </a:defRPr>
            </a:pPr>
            <a:endParaRPr lang="en-US"/>
          </a:p>
        </c:txPr>
        <c:crossAx val="515532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006667103480527"/>
          <c:y val="0.54618023527914972"/>
          <c:w val="0.25283577884126901"/>
          <c:h val="0.278241601122021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Adobe Fan Heiti Std B" panose="020B0700000000000000" pitchFamily="34" charset="-128"/>
              <a:ea typeface="Adobe Fan Heiti Std B" panose="020B0700000000000000" pitchFamily="34" charset="-128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solidFill>
            <a:schemeClr val="tx1"/>
          </a:solidFill>
          <a:latin typeface="Adobe Fan Heiti Std B" panose="020B0700000000000000" pitchFamily="34" charset="-128"/>
          <a:ea typeface="Adobe Fan Heiti Std B" panose="020B0700000000000000" pitchFamily="34" charset="-128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Adobe Fan Heiti Std B" panose="020B0700000000000000" pitchFamily="34" charset="-128"/>
                <a:ea typeface="Adobe Fan Heiti Std B" panose="020B0700000000000000" pitchFamily="34" charset="-128"/>
                <a:cs typeface="+mn-cs"/>
              </a:defRPr>
            </a:pPr>
            <a:r>
              <a:rPr lang="en-US" sz="1600"/>
              <a:t>Age-wise Share of Carbon Emission through Transport Modes</a:t>
            </a:r>
          </a:p>
        </c:rich>
      </c:tx>
      <c:layout>
        <c:manualLayout>
          <c:xMode val="edge"/>
          <c:yMode val="edge"/>
          <c:x val="6.763841462334487E-2"/>
          <c:y val="5.070914708013752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/>
              </a:solidFill>
              <a:latin typeface="Adobe Fan Heiti Std B" panose="020B0700000000000000" pitchFamily="34" charset="-128"/>
              <a:ea typeface="Adobe Fan Heiti Std B" panose="020B0700000000000000" pitchFamily="34" charset="-128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138738171727602E-2"/>
          <c:y val="0.18080769442698674"/>
          <c:w val="0.1714844201814997"/>
          <c:h val="0.757075780590512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Comparison!$M$26</c:f>
              <c:strCache>
                <c:ptCount val="1"/>
                <c:pt idx="0">
                  <c:v>0-14</c:v>
                </c:pt>
              </c:strCache>
            </c:strRef>
          </c:tx>
          <c:spPr>
            <a:solidFill>
              <a:schemeClr val="accent4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Comparison!$L$56</c:f>
              <c:numCache>
                <c:formatCode>General</c:formatCode>
                <c:ptCount val="1"/>
                <c:pt idx="0">
                  <c:v>2010</c:v>
                </c:pt>
              </c:numCache>
            </c:numRef>
          </c:cat>
          <c:val>
            <c:numRef>
              <c:f>Comparison!$M$56</c:f>
              <c:numCache>
                <c:formatCode>0.0</c:formatCode>
                <c:ptCount val="1"/>
                <c:pt idx="0">
                  <c:v>5.7399577266812374</c:v>
                </c:pt>
              </c:numCache>
            </c:numRef>
          </c:val>
        </c:ser>
        <c:ser>
          <c:idx val="1"/>
          <c:order val="1"/>
          <c:tx>
            <c:strRef>
              <c:f>Comparison!$N$26</c:f>
              <c:strCache>
                <c:ptCount val="1"/>
                <c:pt idx="0">
                  <c:v>15-64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Comparison!$L$56</c:f>
              <c:numCache>
                <c:formatCode>General</c:formatCode>
                <c:ptCount val="1"/>
                <c:pt idx="0">
                  <c:v>2010</c:v>
                </c:pt>
              </c:numCache>
            </c:numRef>
          </c:cat>
          <c:val>
            <c:numRef>
              <c:f>Comparison!$N$56</c:f>
              <c:numCache>
                <c:formatCode>0.0</c:formatCode>
                <c:ptCount val="1"/>
                <c:pt idx="0">
                  <c:v>67.660970308551327</c:v>
                </c:pt>
              </c:numCache>
            </c:numRef>
          </c:val>
        </c:ser>
        <c:ser>
          <c:idx val="2"/>
          <c:order val="2"/>
          <c:tx>
            <c:strRef>
              <c:f>Comparison!$O$26</c:f>
              <c:strCache>
                <c:ptCount val="1"/>
                <c:pt idx="0">
                  <c:v>Above 65</c:v>
                </c:pt>
              </c:strCache>
            </c:strRef>
          </c:tx>
          <c:spPr>
            <a:solidFill>
              <a:schemeClr val="accent4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Comparison!$L$56</c:f>
              <c:numCache>
                <c:formatCode>General</c:formatCode>
                <c:ptCount val="1"/>
                <c:pt idx="0">
                  <c:v>2010</c:v>
                </c:pt>
              </c:numCache>
            </c:numRef>
          </c:cat>
          <c:val>
            <c:numRef>
              <c:f>Comparison!$O$56</c:f>
              <c:numCache>
                <c:formatCode>0.0</c:formatCode>
                <c:ptCount val="1"/>
                <c:pt idx="0">
                  <c:v>26.599071964767447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1760448"/>
        <c:axId val="741782752"/>
      </c:barChart>
      <c:catAx>
        <c:axId val="7417604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dobe Fan Heiti Std B" panose="020B0700000000000000" pitchFamily="34" charset="-128"/>
                    <a:ea typeface="Adobe Fan Heiti Std B" panose="020B0700000000000000" pitchFamily="34" charset="-128"/>
                    <a:cs typeface="+mn-cs"/>
                  </a:defRPr>
                </a:pPr>
                <a:r>
                  <a:rPr lang="en-US"/>
                  <a:t>Age Group</a:t>
                </a:r>
              </a:p>
            </c:rich>
          </c:tx>
          <c:layout>
            <c:manualLayout>
              <c:xMode val="edge"/>
              <c:yMode val="edge"/>
              <c:x val="0.86432954627158687"/>
              <c:y val="0.600028868475544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dobe Fan Heiti Std B" panose="020B0700000000000000" pitchFamily="34" charset="-128"/>
                  <a:ea typeface="Adobe Fan Heiti Std B" panose="020B0700000000000000" pitchFamily="34" charset="-128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dobe Fan Heiti Std B" panose="020B0700000000000000" pitchFamily="34" charset="-128"/>
                <a:ea typeface="Adobe Fan Heiti Std B" panose="020B0700000000000000" pitchFamily="34" charset="-128"/>
                <a:cs typeface="+mn-cs"/>
              </a:defRPr>
            </a:pPr>
            <a:endParaRPr lang="en-US"/>
          </a:p>
        </c:txPr>
        <c:crossAx val="741782752"/>
        <c:crosses val="autoZero"/>
        <c:auto val="1"/>
        <c:lblAlgn val="ctr"/>
        <c:lblOffset val="100"/>
        <c:noMultiLvlLbl val="0"/>
      </c:catAx>
      <c:valAx>
        <c:axId val="741782752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dobe Fan Heiti Std B" panose="020B0700000000000000" pitchFamily="34" charset="-128"/>
                    <a:ea typeface="Adobe Fan Heiti Std B" panose="020B0700000000000000" pitchFamily="34" charset="-128"/>
                    <a:cs typeface="+mn-cs"/>
                  </a:defRPr>
                </a:pPr>
                <a:r>
                  <a:rPr lang="en-US"/>
                  <a:t>Percentage share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dobe Fan Heiti Std B" panose="020B0700000000000000" pitchFamily="34" charset="-128"/>
                  <a:ea typeface="Adobe Fan Heiti Std B" panose="020B0700000000000000" pitchFamily="34" charset="-128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dobe Fan Heiti Std B" panose="020B0700000000000000" pitchFamily="34" charset="-128"/>
                <a:ea typeface="Adobe Fan Heiti Std B" panose="020B0700000000000000" pitchFamily="34" charset="-128"/>
                <a:cs typeface="+mn-cs"/>
              </a:defRPr>
            </a:pPr>
            <a:endParaRPr lang="en-US"/>
          </a:p>
        </c:txPr>
        <c:crossAx val="74176044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832510308220221"/>
          <c:y val="0.67282434311241301"/>
          <c:w val="0.13347425272731131"/>
          <c:h val="0.171961126318180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Adobe Fan Heiti Std B" panose="020B0700000000000000" pitchFamily="34" charset="-128"/>
              <a:ea typeface="Adobe Fan Heiti Std B" panose="020B0700000000000000" pitchFamily="34" charset="-128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solidFill>
            <a:schemeClr val="tx1"/>
          </a:solidFill>
          <a:latin typeface="Adobe Fan Heiti Std B" panose="020B0700000000000000" pitchFamily="34" charset="-128"/>
          <a:ea typeface="Adobe Fan Heiti Std B" panose="020B0700000000000000" pitchFamily="34" charset="-128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Comparison!$M$55</c:f>
              <c:strCache>
                <c:ptCount val="1"/>
                <c:pt idx="0">
                  <c:v>0-14</c:v>
                </c:pt>
              </c:strCache>
            </c:strRef>
          </c:tx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Comparison!$L$56</c:f>
              <c:numCache>
                <c:formatCode>General</c:formatCode>
                <c:ptCount val="1"/>
                <c:pt idx="0">
                  <c:v>2010</c:v>
                </c:pt>
              </c:numCache>
            </c:numRef>
          </c:cat>
          <c:val>
            <c:numRef>
              <c:f>Comparison!$M$56</c:f>
              <c:numCache>
                <c:formatCode>0.0</c:formatCode>
                <c:ptCount val="1"/>
                <c:pt idx="0">
                  <c:v>5.7399577266812374</c:v>
                </c:pt>
              </c:numCache>
            </c:numRef>
          </c:val>
        </c:ser>
        <c:ser>
          <c:idx val="1"/>
          <c:order val="1"/>
          <c:tx>
            <c:strRef>
              <c:f>Comparison!$N$55</c:f>
              <c:strCache>
                <c:ptCount val="1"/>
                <c:pt idx="0">
                  <c:v>15-64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Comparison!$L$56</c:f>
              <c:numCache>
                <c:formatCode>General</c:formatCode>
                <c:ptCount val="1"/>
                <c:pt idx="0">
                  <c:v>2010</c:v>
                </c:pt>
              </c:numCache>
            </c:numRef>
          </c:cat>
          <c:val>
            <c:numRef>
              <c:f>Comparison!$N$56</c:f>
              <c:numCache>
                <c:formatCode>0.0</c:formatCode>
                <c:ptCount val="1"/>
                <c:pt idx="0">
                  <c:v>67.660970308551327</c:v>
                </c:pt>
              </c:numCache>
            </c:numRef>
          </c:val>
        </c:ser>
        <c:ser>
          <c:idx val="2"/>
          <c:order val="2"/>
          <c:tx>
            <c:strRef>
              <c:f>Comparison!$O$55</c:f>
              <c:strCache>
                <c:ptCount val="1"/>
                <c:pt idx="0">
                  <c:v>Above 65</c:v>
                </c:pt>
              </c:strCache>
            </c:strRef>
          </c:tx>
          <c:spPr>
            <a:solidFill>
              <a:schemeClr val="accent2">
                <a:tint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gency FB" panose="020B0503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Comparison!$L$56</c:f>
              <c:numCache>
                <c:formatCode>General</c:formatCode>
                <c:ptCount val="1"/>
                <c:pt idx="0">
                  <c:v>2010</c:v>
                </c:pt>
              </c:numCache>
            </c:numRef>
          </c:cat>
          <c:val>
            <c:numRef>
              <c:f>Comparison!$O$56</c:f>
              <c:numCache>
                <c:formatCode>0.0</c:formatCode>
                <c:ptCount val="1"/>
                <c:pt idx="0">
                  <c:v>26.599071964767447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1898112"/>
        <c:axId val="1341898656"/>
      </c:barChart>
      <c:catAx>
        <c:axId val="1341898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gency FB" panose="020B0503020202020204" pitchFamily="34" charset="0"/>
                <a:ea typeface="+mn-ea"/>
                <a:cs typeface="+mn-cs"/>
              </a:defRPr>
            </a:pPr>
            <a:endParaRPr lang="en-US"/>
          </a:p>
        </c:txPr>
        <c:crossAx val="1341898656"/>
        <c:crosses val="autoZero"/>
        <c:auto val="1"/>
        <c:lblAlgn val="ctr"/>
        <c:lblOffset val="100"/>
        <c:noMultiLvlLbl val="0"/>
      </c:catAx>
      <c:valAx>
        <c:axId val="1341898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gency FB" panose="020B0503020202020204" pitchFamily="34" charset="0"/>
                <a:ea typeface="+mn-ea"/>
                <a:cs typeface="+mn-cs"/>
              </a:defRPr>
            </a:pPr>
            <a:endParaRPr lang="en-US"/>
          </a:p>
        </c:txPr>
        <c:crossAx val="1341898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gency FB" panose="020B0503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>
          <a:latin typeface="Agency FB" panose="020B0503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361950</xdr:colOff>
      <xdr:row>0</xdr:row>
      <xdr:rowOff>323850</xdr:rowOff>
    </xdr:from>
    <xdr:to>
      <xdr:col>19</xdr:col>
      <xdr:colOff>695325</xdr:colOff>
      <xdr:row>13</xdr:row>
      <xdr:rowOff>189865</xdr:rowOff>
    </xdr:to>
    <xdr:grpSp>
      <xdr:nvGrpSpPr>
        <xdr:cNvPr id="8" name="Group 7"/>
        <xdr:cNvGrpSpPr/>
      </xdr:nvGrpSpPr>
      <xdr:grpSpPr>
        <a:xfrm>
          <a:off x="10982325" y="323850"/>
          <a:ext cx="3990975" cy="2504440"/>
          <a:chOff x="7724775" y="4038600"/>
          <a:chExt cx="3990975" cy="2504440"/>
        </a:xfrm>
      </xdr:grpSpPr>
      <xdr:pic>
        <xdr:nvPicPr>
          <xdr:cNvPr id="2" name="Picture 1" descr="https://media.springernature.com/original/springer-static/image/art%3A10.1007%2Fs40864-017-0070-4/MediaObjects/40864_2017_70_Fig1_HTML.gif"/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24775" y="4038600"/>
            <a:ext cx="3691890" cy="2504440"/>
          </a:xfrm>
          <a:prstGeom prst="rect">
            <a:avLst/>
          </a:prstGeom>
          <a:noFill/>
          <a:ln>
            <a:noFill/>
          </a:ln>
        </xdr:spPr>
      </xdr:pic>
      <xdr:cxnSp macro="">
        <xdr:nvCxnSpPr>
          <xdr:cNvPr id="4" name="Straight Connector 3"/>
          <xdr:cNvCxnSpPr/>
        </xdr:nvCxnSpPr>
        <xdr:spPr>
          <a:xfrm flipH="1">
            <a:off x="7981950" y="6134100"/>
            <a:ext cx="3733800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Straight Connector 4"/>
          <xdr:cNvCxnSpPr/>
        </xdr:nvCxnSpPr>
        <xdr:spPr>
          <a:xfrm flipH="1">
            <a:off x="7734300" y="5781675"/>
            <a:ext cx="3733800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Straight Connector 5"/>
          <xdr:cNvCxnSpPr/>
        </xdr:nvCxnSpPr>
        <xdr:spPr>
          <a:xfrm flipH="1">
            <a:off x="7924800" y="5191125"/>
            <a:ext cx="3733800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Straight Connector 6"/>
          <xdr:cNvCxnSpPr/>
        </xdr:nvCxnSpPr>
        <xdr:spPr>
          <a:xfrm flipH="1">
            <a:off x="7791450" y="4448175"/>
            <a:ext cx="3733800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334528</xdr:colOff>
      <xdr:row>1</xdr:row>
      <xdr:rowOff>69056</xdr:rowOff>
    </xdr:from>
    <xdr:to>
      <xdr:col>27</xdr:col>
      <xdr:colOff>187613</xdr:colOff>
      <xdr:row>21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333373</xdr:colOff>
      <xdr:row>24</xdr:row>
      <xdr:rowOff>11904</xdr:rowOff>
    </xdr:from>
    <xdr:to>
      <xdr:col>28</xdr:col>
      <xdr:colOff>130969</xdr:colOff>
      <xdr:row>50</xdr:row>
      <xdr:rowOff>142873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33974</xdr:colOff>
      <xdr:row>18</xdr:row>
      <xdr:rowOff>177757</xdr:rowOff>
    </xdr:from>
    <xdr:to>
      <xdr:col>29</xdr:col>
      <xdr:colOff>531915</xdr:colOff>
      <xdr:row>36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375226</xdr:colOff>
      <xdr:row>1</xdr:row>
      <xdr:rowOff>360794</xdr:rowOff>
    </xdr:from>
    <xdr:to>
      <xdr:col>35</xdr:col>
      <xdr:colOff>184956</xdr:colOff>
      <xdr:row>18</xdr:row>
      <xdr:rowOff>152052</xdr:rowOff>
    </xdr:to>
    <xdr:pic>
      <xdr:nvPicPr>
        <xdr:cNvPr id="12" name="Picture 11" descr="https://media.springernature.com/original/springer-static/image/art%3A10.1007%2Fs40864-017-0070-4/MediaObjects/40864_2017_70_Fig1_HTML.gif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70567" y="548408"/>
          <a:ext cx="4658821" cy="354353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15</xdr:col>
      <xdr:colOff>358733</xdr:colOff>
      <xdr:row>52</xdr:row>
      <xdr:rowOff>12371</xdr:rowOff>
    </xdr:from>
    <xdr:to>
      <xdr:col>28</xdr:col>
      <xdr:colOff>156329</xdr:colOff>
      <xdr:row>78</xdr:row>
      <xdr:rowOff>143339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342651</xdr:colOff>
      <xdr:row>60</xdr:row>
      <xdr:rowOff>131369</xdr:rowOff>
    </xdr:from>
    <xdr:to>
      <xdr:col>21</xdr:col>
      <xdr:colOff>470065</xdr:colOff>
      <xdr:row>68</xdr:row>
      <xdr:rowOff>173182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0.09944</cdr:x>
      <cdr:y>0.10999</cdr:y>
    </cdr:from>
    <cdr:to>
      <cdr:x>0.24606</cdr:x>
      <cdr:y>0.16762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3445" y="550937"/>
          <a:ext cx="1125682" cy="2886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400">
              <a:latin typeface="Adobe Fan Heiti Std B" panose="020B0700000000000000" pitchFamily="34" charset="-128"/>
              <a:ea typeface="Adobe Fan Heiti Std B" panose="020B0700000000000000" pitchFamily="34" charset="-128"/>
            </a:rPr>
            <a:t>Scenario</a:t>
          </a:r>
          <a:r>
            <a:rPr lang="en-US" sz="1400" baseline="0">
              <a:latin typeface="Adobe Fan Heiti Std B" panose="020B0700000000000000" pitchFamily="34" charset="-128"/>
              <a:ea typeface="Adobe Fan Heiti Std B" panose="020B0700000000000000" pitchFamily="34" charset="-128"/>
            </a:rPr>
            <a:t> 1</a:t>
          </a:r>
          <a:endParaRPr lang="en-US" sz="1400">
            <a:latin typeface="Adobe Fan Heiti Std B" panose="020B0700000000000000" pitchFamily="34" charset="-128"/>
            <a:ea typeface="Adobe Fan Heiti Std B" panose="020B0700000000000000" pitchFamily="34" charset="-128"/>
          </a:endParaRPr>
        </a:p>
      </cdr:txBody>
    </cdr:sp>
  </cdr:relSizeAnchor>
  <cdr:relSizeAnchor xmlns:cdr="http://schemas.openxmlformats.org/drawingml/2006/chartDrawing">
    <cdr:from>
      <cdr:x>0.29046</cdr:x>
      <cdr:y>0.10522</cdr:y>
    </cdr:from>
    <cdr:to>
      <cdr:x>0.43709</cdr:x>
      <cdr:y>0.16285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230004" y="527050"/>
          <a:ext cx="1125682" cy="2886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latin typeface="Adobe Fan Heiti Std B" panose="020B0700000000000000" pitchFamily="34" charset="-128"/>
              <a:ea typeface="Adobe Fan Heiti Std B" panose="020B0700000000000000" pitchFamily="34" charset="-128"/>
            </a:rPr>
            <a:t>Scenario</a:t>
          </a:r>
          <a:r>
            <a:rPr lang="en-US" sz="1400" baseline="0">
              <a:latin typeface="Adobe Fan Heiti Std B" panose="020B0700000000000000" pitchFamily="34" charset="-128"/>
              <a:ea typeface="Adobe Fan Heiti Std B" panose="020B0700000000000000" pitchFamily="34" charset="-128"/>
            </a:rPr>
            <a:t> 2</a:t>
          </a:r>
          <a:endParaRPr lang="en-US" sz="1400">
            <a:latin typeface="Adobe Fan Heiti Std B" panose="020B0700000000000000" pitchFamily="34" charset="-128"/>
            <a:ea typeface="Adobe Fan Heiti Std B" panose="020B0700000000000000" pitchFamily="34" charset="-128"/>
          </a:endParaRPr>
        </a:p>
      </cdr:txBody>
    </cdr:sp>
  </cdr:relSizeAnchor>
  <cdr:relSizeAnchor xmlns:cdr="http://schemas.openxmlformats.org/drawingml/2006/chartDrawing">
    <cdr:from>
      <cdr:x>0.47844</cdr:x>
      <cdr:y>0.10522</cdr:y>
    </cdr:from>
    <cdr:to>
      <cdr:x>0.62507</cdr:x>
      <cdr:y>0.16285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3673187" y="527050"/>
          <a:ext cx="1125682" cy="2886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latin typeface="Adobe Fan Heiti Std B" panose="020B0700000000000000" pitchFamily="34" charset="-128"/>
              <a:ea typeface="Adobe Fan Heiti Std B" panose="020B0700000000000000" pitchFamily="34" charset="-128"/>
            </a:rPr>
            <a:t>Scenario</a:t>
          </a:r>
          <a:r>
            <a:rPr lang="en-US" sz="1400" baseline="0">
              <a:latin typeface="Adobe Fan Heiti Std B" panose="020B0700000000000000" pitchFamily="34" charset="-128"/>
              <a:ea typeface="Adobe Fan Heiti Std B" panose="020B0700000000000000" pitchFamily="34" charset="-128"/>
            </a:rPr>
            <a:t> 3</a:t>
          </a:r>
          <a:endParaRPr lang="en-US" sz="1400">
            <a:latin typeface="Adobe Fan Heiti Std B" panose="020B0700000000000000" pitchFamily="34" charset="-128"/>
            <a:ea typeface="Adobe Fan Heiti Std B" panose="020B0700000000000000" pitchFamily="34" charset="-128"/>
          </a:endParaRPr>
        </a:p>
      </cdr:txBody>
    </cdr:sp>
  </cdr:relSizeAnchor>
  <cdr:relSizeAnchor xmlns:cdr="http://schemas.openxmlformats.org/drawingml/2006/chartDrawing">
    <cdr:from>
      <cdr:x>0.66642</cdr:x>
      <cdr:y>0.1081</cdr:y>
    </cdr:from>
    <cdr:to>
      <cdr:x>0.81305</cdr:x>
      <cdr:y>0.16573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5116369" y="541482"/>
          <a:ext cx="1125682" cy="2886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400">
              <a:latin typeface="Adobe Fan Heiti Std B" panose="020B0700000000000000" pitchFamily="34" charset="-128"/>
              <a:ea typeface="Adobe Fan Heiti Std B" panose="020B0700000000000000" pitchFamily="34" charset="-128"/>
            </a:rPr>
            <a:t>Scenario</a:t>
          </a:r>
          <a:r>
            <a:rPr lang="en-US" sz="1400" baseline="0">
              <a:latin typeface="Adobe Fan Heiti Std B" panose="020B0700000000000000" pitchFamily="34" charset="-128"/>
              <a:ea typeface="Adobe Fan Heiti Std B" panose="020B0700000000000000" pitchFamily="34" charset="-128"/>
            </a:rPr>
            <a:t> 4</a:t>
          </a:r>
          <a:endParaRPr lang="en-US" sz="1400">
            <a:latin typeface="Adobe Fan Heiti Std B" panose="020B0700000000000000" pitchFamily="34" charset="-128"/>
            <a:ea typeface="Adobe Fan Heiti Std B" panose="020B0700000000000000" pitchFamily="34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0.76327</cdr:x>
      <cdr:y>0.42116</cdr:y>
    </cdr:from>
    <cdr:to>
      <cdr:x>0.97303</cdr:x>
      <cdr:y>0.50918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4112116" y="1390314"/>
          <a:ext cx="1130085" cy="2905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latin typeface="Adobe Fan Heiti Std B" panose="020B0700000000000000" pitchFamily="34" charset="-128"/>
              <a:ea typeface="Adobe Fan Heiti Std B" panose="020B0700000000000000" pitchFamily="34" charset="-128"/>
            </a:rPr>
            <a:t>Age Group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25</xdr:row>
      <xdr:rowOff>66675</xdr:rowOff>
    </xdr:from>
    <xdr:to>
      <xdr:col>16</xdr:col>
      <xdr:colOff>552450</xdr:colOff>
      <xdr:row>38</xdr:row>
      <xdr:rowOff>94615</xdr:rowOff>
    </xdr:to>
    <xdr:grpSp>
      <xdr:nvGrpSpPr>
        <xdr:cNvPr id="2" name="Group 1"/>
        <xdr:cNvGrpSpPr/>
      </xdr:nvGrpSpPr>
      <xdr:grpSpPr>
        <a:xfrm>
          <a:off x="1828800" y="5572125"/>
          <a:ext cx="3448050" cy="2504440"/>
          <a:chOff x="7724775" y="4038600"/>
          <a:chExt cx="3990975" cy="2504440"/>
        </a:xfrm>
      </xdr:grpSpPr>
      <xdr:pic>
        <xdr:nvPicPr>
          <xdr:cNvPr id="3" name="Picture 2" descr="https://media.springernature.com/original/springer-static/image/art%3A10.1007%2Fs40864-017-0070-4/MediaObjects/40864_2017_70_Fig1_HTML.gif"/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24775" y="4038600"/>
            <a:ext cx="3691890" cy="2504440"/>
          </a:xfrm>
          <a:prstGeom prst="rect">
            <a:avLst/>
          </a:prstGeom>
          <a:noFill/>
          <a:ln>
            <a:noFill/>
          </a:ln>
        </xdr:spPr>
      </xdr:pic>
      <xdr:cxnSp macro="">
        <xdr:nvCxnSpPr>
          <xdr:cNvPr id="4" name="Straight Connector 3"/>
          <xdr:cNvCxnSpPr/>
        </xdr:nvCxnSpPr>
        <xdr:spPr>
          <a:xfrm flipH="1">
            <a:off x="7981950" y="6086475"/>
            <a:ext cx="3733800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Straight Connector 4"/>
          <xdr:cNvCxnSpPr/>
        </xdr:nvCxnSpPr>
        <xdr:spPr>
          <a:xfrm flipH="1">
            <a:off x="7905750" y="5734050"/>
            <a:ext cx="3733800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Straight Connector 5"/>
          <xdr:cNvCxnSpPr/>
        </xdr:nvCxnSpPr>
        <xdr:spPr>
          <a:xfrm flipH="1">
            <a:off x="7924800" y="5191125"/>
            <a:ext cx="3733800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Straight Connector 6"/>
          <xdr:cNvCxnSpPr/>
        </xdr:nvCxnSpPr>
        <xdr:spPr>
          <a:xfrm flipH="1">
            <a:off x="7905750" y="4371975"/>
            <a:ext cx="3733800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25</xdr:row>
      <xdr:rowOff>66675</xdr:rowOff>
    </xdr:from>
    <xdr:to>
      <xdr:col>17</xdr:col>
      <xdr:colOff>590549</xdr:colOff>
      <xdr:row>38</xdr:row>
      <xdr:rowOff>28575</xdr:rowOff>
    </xdr:to>
    <xdr:grpSp>
      <xdr:nvGrpSpPr>
        <xdr:cNvPr id="2" name="Group 1"/>
        <xdr:cNvGrpSpPr/>
      </xdr:nvGrpSpPr>
      <xdr:grpSpPr>
        <a:xfrm>
          <a:off x="1828799" y="5572125"/>
          <a:ext cx="4391025" cy="2438400"/>
          <a:chOff x="7724775" y="4038600"/>
          <a:chExt cx="3990975" cy="2504440"/>
        </a:xfrm>
      </xdr:grpSpPr>
      <xdr:pic>
        <xdr:nvPicPr>
          <xdr:cNvPr id="3" name="Picture 2" descr="https://media.springernature.com/original/springer-static/image/art%3A10.1007%2Fs40864-017-0070-4/MediaObjects/40864_2017_70_Fig1_HTML.gif"/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24775" y="4038600"/>
            <a:ext cx="3691890" cy="2504440"/>
          </a:xfrm>
          <a:prstGeom prst="rect">
            <a:avLst/>
          </a:prstGeom>
          <a:noFill/>
          <a:ln>
            <a:noFill/>
          </a:ln>
        </xdr:spPr>
      </xdr:pic>
      <xdr:cxnSp macro="">
        <xdr:nvCxnSpPr>
          <xdr:cNvPr id="4" name="Straight Connector 3"/>
          <xdr:cNvCxnSpPr/>
        </xdr:nvCxnSpPr>
        <xdr:spPr>
          <a:xfrm flipH="1">
            <a:off x="7981950" y="6086475"/>
            <a:ext cx="3733800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Straight Connector 4"/>
          <xdr:cNvCxnSpPr/>
        </xdr:nvCxnSpPr>
        <xdr:spPr>
          <a:xfrm flipH="1">
            <a:off x="7905750" y="5734050"/>
            <a:ext cx="3733800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Straight Connector 5"/>
          <xdr:cNvCxnSpPr/>
        </xdr:nvCxnSpPr>
        <xdr:spPr>
          <a:xfrm flipH="1">
            <a:off x="7924800" y="5191125"/>
            <a:ext cx="3733800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Straight Connector 6"/>
          <xdr:cNvCxnSpPr/>
        </xdr:nvCxnSpPr>
        <xdr:spPr>
          <a:xfrm flipH="1">
            <a:off x="7905750" y="4371975"/>
            <a:ext cx="3733800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609599</xdr:colOff>
      <xdr:row>25</xdr:row>
      <xdr:rowOff>66675</xdr:rowOff>
    </xdr:from>
    <xdr:to>
      <xdr:col>17</xdr:col>
      <xdr:colOff>590549</xdr:colOff>
      <xdr:row>38</xdr:row>
      <xdr:rowOff>28575</xdr:rowOff>
    </xdr:to>
    <xdr:grpSp>
      <xdr:nvGrpSpPr>
        <xdr:cNvPr id="2" name="Group 1"/>
        <xdr:cNvGrpSpPr/>
      </xdr:nvGrpSpPr>
      <xdr:grpSpPr>
        <a:xfrm>
          <a:off x="1828799" y="5572125"/>
          <a:ext cx="5000625" cy="2438400"/>
          <a:chOff x="7724775" y="4038600"/>
          <a:chExt cx="3990975" cy="2504440"/>
        </a:xfrm>
      </xdr:grpSpPr>
      <xdr:pic>
        <xdr:nvPicPr>
          <xdr:cNvPr id="3" name="Picture 2" descr="https://media.springernature.com/original/springer-static/image/art%3A10.1007%2Fs40864-017-0070-4/MediaObjects/40864_2017_70_Fig1_HTML.gif"/>
          <xdr:cNvPicPr/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24775" y="4038600"/>
            <a:ext cx="3691890" cy="2504440"/>
          </a:xfrm>
          <a:prstGeom prst="rect">
            <a:avLst/>
          </a:prstGeom>
          <a:noFill/>
          <a:ln>
            <a:noFill/>
          </a:ln>
        </xdr:spPr>
      </xdr:pic>
      <xdr:cxnSp macro="">
        <xdr:nvCxnSpPr>
          <xdr:cNvPr id="4" name="Straight Connector 3"/>
          <xdr:cNvCxnSpPr/>
        </xdr:nvCxnSpPr>
        <xdr:spPr>
          <a:xfrm flipH="1">
            <a:off x="7981950" y="6086475"/>
            <a:ext cx="3733800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Straight Connector 4"/>
          <xdr:cNvCxnSpPr/>
        </xdr:nvCxnSpPr>
        <xdr:spPr>
          <a:xfrm flipH="1">
            <a:off x="7905750" y="5734050"/>
            <a:ext cx="3733800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Straight Connector 5"/>
          <xdr:cNvCxnSpPr/>
        </xdr:nvCxnSpPr>
        <xdr:spPr>
          <a:xfrm flipH="1">
            <a:off x="7924800" y="5191125"/>
            <a:ext cx="3733800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Straight Connector 6"/>
          <xdr:cNvCxnSpPr/>
        </xdr:nvCxnSpPr>
        <xdr:spPr>
          <a:xfrm flipH="1">
            <a:off x="7905750" y="4371975"/>
            <a:ext cx="3733800" cy="0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0</xdr:row>
      <xdr:rowOff>0</xdr:rowOff>
    </xdr:from>
    <xdr:to>
      <xdr:col>15</xdr:col>
      <xdr:colOff>285193</xdr:colOff>
      <xdr:row>8</xdr:row>
      <xdr:rowOff>161714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72050" y="0"/>
          <a:ext cx="4457143" cy="16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4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 x14ac:dyDescent="0.25"/>
  <cols>
    <col min="1" max="1" width="12" customWidth="1"/>
    <col min="2" max="3" width="10.42578125" customWidth="1"/>
    <col min="4" max="4" width="11.7109375" customWidth="1"/>
    <col min="5" max="5" width="14" customWidth="1"/>
    <col min="6" max="6" width="10.5703125" bestFit="1" customWidth="1"/>
    <col min="7" max="7" width="13.85546875" style="9" customWidth="1"/>
    <col min="8" max="8" width="11.42578125" bestFit="1" customWidth="1"/>
    <col min="9" max="9" width="11.42578125" customWidth="1"/>
    <col min="10" max="10" width="15.140625" customWidth="1"/>
    <col min="11" max="11" width="13.85546875" customWidth="1"/>
    <col min="12" max="12" width="15.28515625" style="9" customWidth="1"/>
    <col min="13" max="13" width="9.140625" style="77"/>
    <col min="14" max="18" width="9.140625" style="9"/>
    <col min="20" max="20" width="18.28515625" customWidth="1"/>
    <col min="22" max="22" width="12.42578125" customWidth="1"/>
  </cols>
  <sheetData>
    <row r="1" spans="1:33" s="13" customFormat="1" ht="27.75" customHeight="1" x14ac:dyDescent="0.25">
      <c r="A1" s="11" t="s">
        <v>1</v>
      </c>
      <c r="B1" s="11" t="s">
        <v>21</v>
      </c>
      <c r="C1" s="12" t="s">
        <v>0</v>
      </c>
      <c r="D1" s="12" t="s">
        <v>29</v>
      </c>
      <c r="E1" s="11" t="s">
        <v>30</v>
      </c>
      <c r="F1" s="11" t="s">
        <v>31</v>
      </c>
      <c r="G1" s="16" t="s">
        <v>85</v>
      </c>
      <c r="H1" s="16" t="s">
        <v>32</v>
      </c>
      <c r="I1" s="16" t="s">
        <v>32</v>
      </c>
      <c r="J1" s="16" t="s">
        <v>43</v>
      </c>
      <c r="K1" s="16" t="s">
        <v>86</v>
      </c>
      <c r="L1" s="16" t="s">
        <v>87</v>
      </c>
      <c r="M1" s="74" t="s">
        <v>89</v>
      </c>
      <c r="N1" s="17"/>
      <c r="O1" s="17"/>
      <c r="P1" s="17"/>
      <c r="Q1" s="17"/>
      <c r="R1" s="16"/>
    </row>
    <row r="2" spans="1:33" x14ac:dyDescent="0.25">
      <c r="A2" t="s">
        <v>2</v>
      </c>
      <c r="B2" t="s">
        <v>18</v>
      </c>
      <c r="C2" s="7">
        <f>Sheet3!E26</f>
        <v>914.99999999997726</v>
      </c>
      <c r="D2" s="14">
        <f>C2/C$17</f>
        <v>3.4242730436734301E-2</v>
      </c>
      <c r="F2">
        <f>F$17*D2</f>
        <v>16926.030370494696</v>
      </c>
      <c r="G2" s="14">
        <f>Sheet3!E15</f>
        <v>223152.00000000215</v>
      </c>
      <c r="H2" s="17">
        <f t="shared" ref="H2:H16" si="0">G2/C2</f>
        <v>243.88196721312318</v>
      </c>
      <c r="I2" s="17">
        <f>H2*80/160</f>
        <v>121.94098360656157</v>
      </c>
      <c r="J2" s="69">
        <f>I2*F2</f>
        <v>2063976.7919326571</v>
      </c>
      <c r="K2" s="71">
        <v>18</v>
      </c>
      <c r="L2" s="72">
        <f>J2*K2</f>
        <v>37151582.254787825</v>
      </c>
      <c r="M2" s="75">
        <f>L2/L$20*100</f>
        <v>0.2004356229351256</v>
      </c>
      <c r="N2" s="71"/>
      <c r="O2" s="71"/>
      <c r="P2" s="71"/>
      <c r="Q2" s="71"/>
      <c r="R2" s="71"/>
      <c r="S2" s="71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</row>
    <row r="3" spans="1:33" x14ac:dyDescent="0.25">
      <c r="B3" t="s">
        <v>19</v>
      </c>
      <c r="C3" s="7">
        <f>Sheet3!E27</f>
        <v>168989.00000000119</v>
      </c>
      <c r="D3" s="14">
        <f>C3/C$18</f>
        <v>0.4751272946065358</v>
      </c>
      <c r="F3">
        <f>F$18*D3</f>
        <v>1123440.1477167939</v>
      </c>
      <c r="G3" s="14">
        <v>60070586.666667789</v>
      </c>
      <c r="H3" s="17">
        <f t="shared" si="0"/>
        <v>355.47039550898205</v>
      </c>
      <c r="I3" s="17">
        <f>H3*80/160</f>
        <v>177.73519775449103</v>
      </c>
      <c r="J3" s="69">
        <f>I3*F3</f>
        <v>199674856.81977898</v>
      </c>
      <c r="K3" s="71">
        <v>18</v>
      </c>
      <c r="L3" s="72">
        <f t="shared" ref="L3:L16" si="1">J3*K3</f>
        <v>3594147422.7560215</v>
      </c>
      <c r="M3" s="75">
        <f t="shared" ref="M3:M16" si="2">L3/L$20*100</f>
        <v>19.390699773168883</v>
      </c>
      <c r="N3" s="71"/>
      <c r="O3" s="71"/>
      <c r="P3" s="71"/>
      <c r="Q3" s="71"/>
      <c r="R3" s="71"/>
      <c r="S3" s="71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</row>
    <row r="4" spans="1:33" x14ac:dyDescent="0.25">
      <c r="B4" t="s">
        <v>20</v>
      </c>
      <c r="C4" s="7">
        <f>Sheet3!E28</f>
        <v>37641.999999999767</v>
      </c>
      <c r="D4" s="14">
        <f>C4/C$19</f>
        <v>0.29173060528559069</v>
      </c>
      <c r="F4">
        <f>F$19*D4</f>
        <v>242128.79551150746</v>
      </c>
      <c r="G4" s="14">
        <f>Sheet3!E21</f>
        <v>13708992.000000184</v>
      </c>
      <c r="H4" s="17">
        <f t="shared" si="0"/>
        <v>364.19403857394053</v>
      </c>
      <c r="I4" s="17">
        <f>H4*80/160</f>
        <v>182.09701928697027</v>
      </c>
      <c r="J4" s="69">
        <f>I4*F4</f>
        <v>44090931.946189851</v>
      </c>
      <c r="K4" s="71">
        <v>18</v>
      </c>
      <c r="L4" s="72">
        <f t="shared" si="1"/>
        <v>793636775.03141737</v>
      </c>
      <c r="M4" s="75">
        <f t="shared" si="2"/>
        <v>4.2817309986076326</v>
      </c>
      <c r="N4" s="71"/>
      <c r="O4" s="71"/>
      <c r="P4" s="71"/>
      <c r="Q4" s="71"/>
      <c r="R4" s="71"/>
      <c r="S4" s="71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</row>
    <row r="5" spans="1:33" x14ac:dyDescent="0.25">
      <c r="A5" t="s">
        <v>3</v>
      </c>
      <c r="B5" t="s">
        <v>18</v>
      </c>
      <c r="C5" s="7">
        <f>Sheet3!E29</f>
        <v>457.00000000002245</v>
      </c>
      <c r="D5" s="14">
        <f>C5/C$17</f>
        <v>1.7102653343812824E-2</v>
      </c>
      <c r="F5">
        <f>F$17*D5</f>
        <v>8453.7659883242068</v>
      </c>
      <c r="G5" s="14">
        <f>Sheet3!E14</f>
        <v>23782.99999999972</v>
      </c>
      <c r="H5" s="17">
        <f t="shared" si="0"/>
        <v>52.04157549233819</v>
      </c>
      <c r="I5" s="17"/>
      <c r="J5" s="69">
        <f t="shared" ref="J5:J16" si="3">H5*F5</f>
        <v>439947.30087593518</v>
      </c>
      <c r="K5" s="71">
        <v>48</v>
      </c>
      <c r="L5" s="72">
        <f t="shared" si="1"/>
        <v>21117470.442044888</v>
      </c>
      <c r="M5" s="75">
        <f t="shared" si="2"/>
        <v>0.11393036543739374</v>
      </c>
      <c r="N5" s="71"/>
      <c r="O5" s="71"/>
      <c r="P5" s="71"/>
      <c r="Q5" s="71"/>
      <c r="R5" s="71"/>
      <c r="S5" s="71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</row>
    <row r="6" spans="1:33" x14ac:dyDescent="0.25">
      <c r="B6" t="s">
        <v>19</v>
      </c>
      <c r="C6" s="7">
        <f>Sheet3!E30</f>
        <v>13216.000000000002</v>
      </c>
      <c r="D6" s="14">
        <f>C6/C$18</f>
        <v>3.7157935282887841E-2</v>
      </c>
      <c r="F6">
        <f>F$18*D6</f>
        <v>87860.06776905623</v>
      </c>
      <c r="G6" s="14">
        <f>Sheet3!E20</f>
        <v>826782.99999999965</v>
      </c>
      <c r="H6" s="17">
        <f t="shared" si="0"/>
        <v>62.559246368038707</v>
      </c>
      <c r="I6" s="17"/>
      <c r="J6" s="69">
        <f t="shared" si="3"/>
        <v>5496459.6254769657</v>
      </c>
      <c r="K6" s="71">
        <v>48</v>
      </c>
      <c r="L6" s="72">
        <f t="shared" si="1"/>
        <v>263830062.02289435</v>
      </c>
      <c r="M6" s="75">
        <f t="shared" si="2"/>
        <v>1.4233833290843687</v>
      </c>
      <c r="N6" s="71"/>
      <c r="O6" s="71"/>
      <c r="P6" s="71"/>
      <c r="Q6" s="71"/>
      <c r="R6" s="71"/>
      <c r="S6" s="71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</row>
    <row r="7" spans="1:33" x14ac:dyDescent="0.25">
      <c r="B7" t="s">
        <v>20</v>
      </c>
      <c r="C7" s="7">
        <f>Sheet3!E31</f>
        <v>11614.000000000069</v>
      </c>
      <c r="D7" s="14">
        <f>C7/C$19</f>
        <v>9.0010075176316123E-2</v>
      </c>
      <c r="F7">
        <f>F$19*D7</f>
        <v>74706.01538363217</v>
      </c>
      <c r="G7" s="14">
        <f>Sheet3!E25</f>
        <v>699115.99999999476</v>
      </c>
      <c r="H7" s="17">
        <f t="shared" si="0"/>
        <v>60.195970380574359</v>
      </c>
      <c r="I7" s="17"/>
      <c r="J7" s="69">
        <f t="shared" si="3"/>
        <v>4497001.0892838547</v>
      </c>
      <c r="K7" s="71">
        <v>48</v>
      </c>
      <c r="L7" s="72">
        <f t="shared" si="1"/>
        <v>215856052.28562504</v>
      </c>
      <c r="M7" s="75">
        <f t="shared" si="2"/>
        <v>1.1645598835460256</v>
      </c>
      <c r="N7" s="71"/>
      <c r="O7" s="71"/>
      <c r="P7" s="71"/>
      <c r="Q7" s="71"/>
      <c r="R7" s="71"/>
      <c r="S7" s="71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</row>
    <row r="8" spans="1:33" x14ac:dyDescent="0.25">
      <c r="A8" t="s">
        <v>4</v>
      </c>
      <c r="B8" t="s">
        <v>18</v>
      </c>
      <c r="C8" s="7">
        <f>Sheet3!E38</f>
        <v>8001.000000000302</v>
      </c>
      <c r="D8" s="14">
        <f>C8/C$17</f>
        <v>0.29942741663861017</v>
      </c>
      <c r="F8">
        <f>F$17*D8</f>
        <v>148005.64917413832</v>
      </c>
      <c r="G8" s="14">
        <f>Sheet3!E13</f>
        <v>325535.99999998783</v>
      </c>
      <c r="H8" s="17">
        <f t="shared" si="0"/>
        <v>40.686914135729978</v>
      </c>
      <c r="I8" s="17"/>
      <c r="J8" s="69">
        <f t="shared" si="3"/>
        <v>6021893.1395511404</v>
      </c>
      <c r="K8" s="71">
        <v>167</v>
      </c>
      <c r="L8" s="72">
        <f t="shared" si="1"/>
        <v>1005656154.3050405</v>
      </c>
      <c r="M8" s="75">
        <f t="shared" si="2"/>
        <v>5.4255917383087171</v>
      </c>
      <c r="N8" s="71"/>
      <c r="O8" s="71"/>
      <c r="P8" s="71"/>
      <c r="Q8" s="71"/>
      <c r="R8" s="71"/>
      <c r="S8" s="71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</row>
    <row r="9" spans="1:33" x14ac:dyDescent="0.25">
      <c r="B9" t="s">
        <v>19</v>
      </c>
      <c r="C9" s="7">
        <f>Sheet3!E39</f>
        <v>101218.99999999744</v>
      </c>
      <c r="D9" s="14">
        <f>C9/C$18</f>
        <v>0.28458603597143833</v>
      </c>
      <c r="F9">
        <f>F$18*D9</f>
        <v>672904.67611348955</v>
      </c>
      <c r="G9" s="14">
        <f>Sheet3!E19</f>
        <v>7821231.9999998603</v>
      </c>
      <c r="H9" s="17">
        <f t="shared" si="0"/>
        <v>77.270393898379339</v>
      </c>
      <c r="I9" s="17"/>
      <c r="J9" s="69">
        <f t="shared" si="3"/>
        <v>51995609.379350707</v>
      </c>
      <c r="K9" s="71">
        <v>167</v>
      </c>
      <c r="L9" s="72">
        <f t="shared" si="1"/>
        <v>8683266766.3515682</v>
      </c>
      <c r="M9" s="75">
        <f t="shared" si="2"/>
        <v>46.846887206298071</v>
      </c>
      <c r="N9" s="71"/>
      <c r="O9" s="71"/>
      <c r="P9" s="71"/>
      <c r="Q9" s="71"/>
      <c r="R9" s="71"/>
      <c r="S9" s="71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</row>
    <row r="10" spans="1:33" x14ac:dyDescent="0.25">
      <c r="B10" t="s">
        <v>20</v>
      </c>
      <c r="C10" s="7">
        <f>Sheet3!E40</f>
        <v>47345.999999999367</v>
      </c>
      <c r="D10" s="14">
        <f>C10/C$19</f>
        <v>0.36693792141361981</v>
      </c>
      <c r="F10">
        <f>F$19*D10</f>
        <v>304548.90686700359</v>
      </c>
      <c r="G10" s="14">
        <f>Sheet3!E24</f>
        <v>3649889.0000000107</v>
      </c>
      <c r="H10" s="17">
        <f t="shared" si="0"/>
        <v>77.089701347527978</v>
      </c>
      <c r="I10" s="17"/>
      <c r="J10" s="69">
        <f t="shared" si="3"/>
        <v>23477584.27609342</v>
      </c>
      <c r="K10" s="71">
        <v>167</v>
      </c>
      <c r="L10" s="72">
        <f t="shared" si="1"/>
        <v>3920756574.1076012</v>
      </c>
      <c r="M10" s="75">
        <f t="shared" si="2"/>
        <v>21.152781082613785</v>
      </c>
      <c r="N10" s="71"/>
      <c r="O10" s="71"/>
      <c r="P10" s="71"/>
      <c r="Q10" s="71"/>
      <c r="R10" s="71"/>
      <c r="S10" s="71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x14ac:dyDescent="0.25">
      <c r="A11" t="s">
        <v>5</v>
      </c>
      <c r="B11" t="s">
        <v>18</v>
      </c>
      <c r="C11" s="7">
        <f>Sheet3!E32</f>
        <v>4721.999999999889</v>
      </c>
      <c r="D11" s="14">
        <f>C11/C$17</f>
        <v>0.17671494330301593</v>
      </c>
      <c r="F11">
        <f>F$17*D11</f>
        <v>87349.415748061278</v>
      </c>
      <c r="G11" s="14">
        <f>Sheet3!E12</f>
        <v>16448.666666667068</v>
      </c>
      <c r="H11" s="17">
        <f t="shared" si="0"/>
        <v>3.4834109840464751</v>
      </c>
      <c r="I11" s="17"/>
      <c r="J11" s="69">
        <f t="shared" si="3"/>
        <v>304273.91426683881</v>
      </c>
      <c r="K11" s="71">
        <v>0</v>
      </c>
      <c r="L11" s="72">
        <f t="shared" si="1"/>
        <v>0</v>
      </c>
      <c r="M11" s="75">
        <f>L11/L$20*100</f>
        <v>0</v>
      </c>
      <c r="N11" s="71"/>
      <c r="O11" s="71"/>
      <c r="P11" s="71"/>
      <c r="Q11" s="71"/>
      <c r="R11" s="71"/>
      <c r="S11" s="71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x14ac:dyDescent="0.25">
      <c r="B12" t="s">
        <v>19</v>
      </c>
      <c r="C12" s="7">
        <f>Sheet3!E33</f>
        <v>58681.999999999905</v>
      </c>
      <c r="D12" s="14">
        <f>C12/C$18</f>
        <v>0.16498955495387566</v>
      </c>
      <c r="F12" s="21">
        <f>F$18*D12</f>
        <v>390118.37899695442</v>
      </c>
      <c r="G12" s="14">
        <f>Sheet3!E18</f>
        <v>350235.50000000023</v>
      </c>
      <c r="H12" s="17">
        <f t="shared" si="0"/>
        <v>5.9683633822978219</v>
      </c>
      <c r="I12" s="17"/>
      <c r="J12" s="69">
        <f t="shared" si="3"/>
        <v>2328368.2479668064</v>
      </c>
      <c r="K12" s="71">
        <v>0</v>
      </c>
      <c r="L12" s="72">
        <f t="shared" si="1"/>
        <v>0</v>
      </c>
      <c r="M12" s="75">
        <f t="shared" si="2"/>
        <v>0</v>
      </c>
      <c r="N12" s="71"/>
      <c r="O12" s="71"/>
      <c r="P12" s="71"/>
      <c r="Q12" s="71"/>
      <c r="R12" s="71"/>
      <c r="S12" s="71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</row>
    <row r="13" spans="1:33" x14ac:dyDescent="0.25">
      <c r="B13" t="s">
        <v>20</v>
      </c>
      <c r="C13" s="7">
        <f>Sheet3!E34</f>
        <v>21396.999999999811</v>
      </c>
      <c r="D13" s="14">
        <f>C13/C$19</f>
        <v>0.16582965201890887</v>
      </c>
      <c r="F13" s="21">
        <f>F$19*D13</f>
        <v>137634.28716751796</v>
      </c>
      <c r="G13" s="14">
        <f>Sheet3!E23</f>
        <v>134011.16666666776</v>
      </c>
      <c r="H13" s="17">
        <f t="shared" si="0"/>
        <v>6.2630820520011659</v>
      </c>
      <c r="I13" s="17"/>
      <c r="J13" s="69">
        <f t="shared" si="3"/>
        <v>862014.83369885618</v>
      </c>
      <c r="K13" s="71">
        <v>0</v>
      </c>
      <c r="L13" s="72">
        <f t="shared" si="1"/>
        <v>0</v>
      </c>
      <c r="M13" s="75">
        <f t="shared" si="2"/>
        <v>0</v>
      </c>
      <c r="N13" s="71"/>
      <c r="O13" s="71"/>
      <c r="P13" s="71"/>
      <c r="Q13" s="71"/>
      <c r="R13" s="71"/>
      <c r="S13" s="71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</row>
    <row r="14" spans="1:33" x14ac:dyDescent="0.25">
      <c r="A14" t="s">
        <v>6</v>
      </c>
      <c r="B14" t="s">
        <v>18</v>
      </c>
      <c r="C14" s="7">
        <f>Sheet3!E35</f>
        <v>20200.999999999891</v>
      </c>
      <c r="D14" s="14">
        <f>C14/C$17</f>
        <v>0.75599715579506344</v>
      </c>
      <c r="F14" s="21">
        <f>F$17*D14</f>
        <v>373686.0541140656</v>
      </c>
      <c r="G14" s="14">
        <f>Sheet3!E11</f>
        <v>22548.533333332547</v>
      </c>
      <c r="H14" s="17">
        <f t="shared" si="0"/>
        <v>1.1162087685427786</v>
      </c>
      <c r="I14" s="17"/>
      <c r="J14" s="69">
        <f t="shared" si="3"/>
        <v>417111.65028427128</v>
      </c>
      <c r="K14" s="71">
        <v>0</v>
      </c>
      <c r="L14" s="72">
        <f t="shared" si="1"/>
        <v>0</v>
      </c>
      <c r="M14" s="75">
        <f t="shared" si="2"/>
        <v>0</v>
      </c>
      <c r="N14" s="14"/>
      <c r="O14" s="14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</row>
    <row r="15" spans="1:33" x14ac:dyDescent="0.25">
      <c r="B15" t="s">
        <v>19</v>
      </c>
      <c r="C15" s="7">
        <f>Sheet3!E36</f>
        <v>89140.999999998603</v>
      </c>
      <c r="D15" s="14">
        <f>C15/C$18</f>
        <v>0.25062768682293074</v>
      </c>
      <c r="F15" s="21">
        <f>F$18*D15</f>
        <v>592610.04093532974</v>
      </c>
      <c r="G15" s="14">
        <f>Sheet3!E17</f>
        <v>82813.433333333538</v>
      </c>
      <c r="H15" s="17">
        <f t="shared" si="0"/>
        <v>0.92901620279483998</v>
      </c>
      <c r="I15" s="17"/>
      <c r="J15" s="69">
        <f t="shared" si="3"/>
        <v>550544.32996783475</v>
      </c>
      <c r="K15" s="71">
        <v>0</v>
      </c>
      <c r="L15" s="72">
        <f t="shared" si="1"/>
        <v>0</v>
      </c>
      <c r="M15" s="75">
        <f t="shared" si="2"/>
        <v>0</v>
      </c>
      <c r="N15" s="14"/>
      <c r="O15" s="14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</row>
    <row r="16" spans="1:33" x14ac:dyDescent="0.25">
      <c r="B16" t="s">
        <v>20</v>
      </c>
      <c r="C16" s="7">
        <f>Sheet3!E37</f>
        <v>43092.999999999753</v>
      </c>
      <c r="D16" s="14">
        <f>C16/C$19</f>
        <v>0.33397659459040341</v>
      </c>
      <c r="F16" s="21">
        <f>F$19*D16</f>
        <v>277191.86507033091</v>
      </c>
      <c r="G16" s="14">
        <f>Sheet3!E22</f>
        <v>50918.299999999304</v>
      </c>
      <c r="H16" s="17">
        <f t="shared" si="0"/>
        <v>1.1815909776529738</v>
      </c>
      <c r="I16" s="17"/>
      <c r="J16" s="69">
        <f t="shared" si="3"/>
        <v>327527.40684590349</v>
      </c>
      <c r="K16" s="71">
        <v>0</v>
      </c>
      <c r="L16" s="72">
        <f t="shared" si="1"/>
        <v>0</v>
      </c>
      <c r="M16" s="75">
        <f t="shared" si="2"/>
        <v>0</v>
      </c>
      <c r="N16" s="14"/>
      <c r="O16" s="14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</row>
    <row r="17" spans="1:33" ht="15.75" customHeight="1" x14ac:dyDescent="0.25">
      <c r="A17" t="s">
        <v>24</v>
      </c>
      <c r="B17" t="s">
        <v>18</v>
      </c>
      <c r="C17" s="10">
        <f>Sheet3!C3</f>
        <v>26721</v>
      </c>
      <c r="D17" s="20">
        <f>C17/C$20</f>
        <v>5.2248436711756628E-2</v>
      </c>
      <c r="E17">
        <f>13.4/100</f>
        <v>0.13400000000000001</v>
      </c>
      <c r="F17" s="21">
        <f>E17*F$20</f>
        <v>494295.58200000005</v>
      </c>
      <c r="G17" s="26"/>
      <c r="H17" s="24">
        <f>(H2+H5+H8+H11+H14)/5</f>
        <v>68.242015318756131</v>
      </c>
      <c r="I17" s="24"/>
      <c r="J17" s="70">
        <f>J2+J5+J8+J11+J14</f>
        <v>9247202.7969108447</v>
      </c>
      <c r="K17" s="24"/>
      <c r="L17" s="70">
        <f>L2+L5+L8+L11+L14</f>
        <v>1063925207.0018733</v>
      </c>
      <c r="M17" s="76"/>
      <c r="N17" s="14"/>
      <c r="O17" s="14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</row>
    <row r="18" spans="1:33" ht="18" customHeight="1" x14ac:dyDescent="0.25">
      <c r="B18" t="s">
        <v>19</v>
      </c>
      <c r="C18" s="10">
        <f>Sheet3!C4</f>
        <v>355671</v>
      </c>
      <c r="D18" s="20">
        <f>C18/C$20</f>
        <v>0.69545502539976767</v>
      </c>
      <c r="E18">
        <f>64.1/100</f>
        <v>0.6409999999999999</v>
      </c>
      <c r="F18" s="21">
        <f>E18*F$20</f>
        <v>2364503.4929999998</v>
      </c>
      <c r="H18" s="24">
        <f>(H3+H6+H9+H12+H15)/5</f>
        <v>100.43948307209855</v>
      </c>
      <c r="I18" s="24"/>
      <c r="J18" s="70">
        <f>J3+J6+J9+J12+J15</f>
        <v>260045838.40254128</v>
      </c>
      <c r="K18" s="24"/>
      <c r="L18" s="70">
        <f>L3+L6+L9+L12+L15</f>
        <v>12541244251.130484</v>
      </c>
      <c r="M18" s="76"/>
      <c r="N18" s="14"/>
      <c r="O18" s="14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</row>
    <row r="19" spans="1:33" ht="18" customHeight="1" thickBot="1" x14ac:dyDescent="0.3">
      <c r="B19" t="s">
        <v>20</v>
      </c>
      <c r="C19" s="10">
        <f>Sheet3!C5</f>
        <v>129030</v>
      </c>
      <c r="D19" s="20">
        <f>C19/C$20</f>
        <v>0.25229653788847567</v>
      </c>
      <c r="E19">
        <f>22.5/100</f>
        <v>0.22500000000000001</v>
      </c>
      <c r="F19" s="21">
        <f>E19*F$20</f>
        <v>829973.92500000005</v>
      </c>
      <c r="H19" s="24">
        <f>(H4+H7+H10+H13+H16)/5</f>
        <v>101.7848766663394</v>
      </c>
      <c r="I19" s="24"/>
      <c r="J19" s="70">
        <f>J4+J7+J10+J13+J16</f>
        <v>73255059.552111879</v>
      </c>
      <c r="L19" s="70">
        <f>L4+L7+L10+L13+L16</f>
        <v>4930249401.4246435</v>
      </c>
      <c r="M19" s="76"/>
      <c r="N19" s="27"/>
      <c r="O19" s="2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</row>
    <row r="20" spans="1:33" ht="18" customHeight="1" thickBot="1" x14ac:dyDescent="0.3">
      <c r="B20" t="s">
        <v>24</v>
      </c>
      <c r="C20" s="10">
        <f>SUM(C17:C19)</f>
        <v>511422</v>
      </c>
      <c r="F20" s="25">
        <v>3688773</v>
      </c>
      <c r="G20" s="15"/>
      <c r="H20" s="10">
        <f>AVERAGE(H17:H19)</f>
        <v>90.155458352398043</v>
      </c>
      <c r="J20" s="10">
        <f>SUM(J17:J19)</f>
        <v>342548100.75156397</v>
      </c>
      <c r="L20" s="10">
        <f>SUM(L17:L19)</f>
        <v>18535418859.556999</v>
      </c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</row>
    <row r="21" spans="1:33" ht="15.75" thickBot="1" x14ac:dyDescent="0.3">
      <c r="A21" s="103" t="s">
        <v>7</v>
      </c>
      <c r="B21" s="104"/>
      <c r="C21" s="105"/>
      <c r="D21" s="8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</row>
    <row r="22" spans="1:33" ht="15.75" thickBot="1" x14ac:dyDescent="0.3">
      <c r="A22" s="1" t="s">
        <v>8</v>
      </c>
      <c r="B22" s="1"/>
      <c r="C22" s="2">
        <v>306203</v>
      </c>
      <c r="D22">
        <f t="shared" ref="D22:D30" si="4">C22/C$31*100</f>
        <v>8.2705798208472743</v>
      </c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</row>
    <row r="23" spans="1:33" ht="15.75" thickBot="1" x14ac:dyDescent="0.3">
      <c r="A23" s="1" t="s">
        <v>9</v>
      </c>
      <c r="B23" s="1"/>
      <c r="C23" s="2">
        <v>340392</v>
      </c>
      <c r="D23">
        <f t="shared" si="4"/>
        <v>9.194028818717797</v>
      </c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</row>
    <row r="24" spans="1:33" ht="15.75" thickBot="1" x14ac:dyDescent="0.3">
      <c r="A24" s="1" t="s">
        <v>10</v>
      </c>
      <c r="B24" s="1"/>
      <c r="C24" s="2">
        <v>391846</v>
      </c>
      <c r="D24">
        <f t="shared" si="4"/>
        <v>10.583807541009465</v>
      </c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</row>
    <row r="25" spans="1:33" ht="15.75" thickBot="1" x14ac:dyDescent="0.3">
      <c r="A25" s="1" t="s">
        <v>11</v>
      </c>
      <c r="B25" s="1"/>
      <c r="C25" s="2">
        <v>493809</v>
      </c>
      <c r="D25">
        <f t="shared" si="4"/>
        <v>13.337840422049332</v>
      </c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</row>
    <row r="26" spans="1:33" ht="15.75" thickBot="1" x14ac:dyDescent="0.3">
      <c r="A26" s="1" t="s">
        <v>12</v>
      </c>
      <c r="B26" s="1"/>
      <c r="C26" s="2">
        <v>624227</v>
      </c>
      <c r="D26">
        <f t="shared" si="4"/>
        <v>16.860446272009195</v>
      </c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</row>
    <row r="27" spans="1:33" ht="15.75" thickBot="1" x14ac:dyDescent="0.3">
      <c r="A27" s="1" t="s">
        <v>13</v>
      </c>
      <c r="B27" s="1"/>
      <c r="C27" s="2">
        <v>465693</v>
      </c>
      <c r="D27">
        <f t="shared" si="4"/>
        <v>12.578423883860804</v>
      </c>
    </row>
    <row r="28" spans="1:33" ht="15.75" thickBot="1" x14ac:dyDescent="0.3">
      <c r="A28" s="1" t="s">
        <v>14</v>
      </c>
      <c r="B28" s="1"/>
      <c r="C28" s="2">
        <v>467137</v>
      </c>
      <c r="D28">
        <f t="shared" si="4"/>
        <v>12.617426497360032</v>
      </c>
    </row>
    <row r="29" spans="1:33" ht="15.75" thickBot="1" x14ac:dyDescent="0.3">
      <c r="A29" s="1" t="s">
        <v>15</v>
      </c>
      <c r="B29" s="1"/>
      <c r="C29" s="2">
        <v>378622</v>
      </c>
      <c r="D29">
        <f t="shared" si="4"/>
        <v>10.226625712121818</v>
      </c>
    </row>
    <row r="30" spans="1:33" ht="15.75" thickBot="1" x14ac:dyDescent="0.3">
      <c r="A30" s="1" t="s">
        <v>16</v>
      </c>
      <c r="B30" s="1"/>
      <c r="C30" s="2">
        <v>234387</v>
      </c>
      <c r="D30">
        <f t="shared" si="4"/>
        <v>6.3308210320242795</v>
      </c>
    </row>
    <row r="31" spans="1:33" x14ac:dyDescent="0.25">
      <c r="C31" s="3">
        <f>SUM(C22:C30)</f>
        <v>3702316</v>
      </c>
    </row>
    <row r="32" spans="1:33" x14ac:dyDescent="0.25">
      <c r="D32" s="3"/>
    </row>
    <row r="33" spans="1:10" x14ac:dyDescent="0.25">
      <c r="A33" s="4" t="s">
        <v>17</v>
      </c>
      <c r="B33" t="s">
        <v>18</v>
      </c>
      <c r="C33" t="s">
        <v>19</v>
      </c>
      <c r="D33" t="s">
        <v>20</v>
      </c>
      <c r="F33" s="78"/>
      <c r="G33" s="73"/>
      <c r="H33" s="78"/>
      <c r="I33" s="78"/>
      <c r="J33" s="78"/>
    </row>
    <row r="34" spans="1:10" x14ac:dyDescent="0.25">
      <c r="A34">
        <v>1995</v>
      </c>
      <c r="B34">
        <v>15.95</v>
      </c>
      <c r="C34">
        <v>64.489999999999995</v>
      </c>
      <c r="D34">
        <v>14.56</v>
      </c>
      <c r="F34" s="78"/>
      <c r="G34" s="73"/>
      <c r="H34" s="78"/>
      <c r="I34" s="78"/>
      <c r="J34" s="78"/>
    </row>
    <row r="35" spans="1:10" x14ac:dyDescent="0.25">
      <c r="A35">
        <v>2000</v>
      </c>
      <c r="B35">
        <v>14.6</v>
      </c>
      <c r="C35">
        <v>68.099999999999994</v>
      </c>
      <c r="D35">
        <v>17.399999999999999</v>
      </c>
      <c r="F35" s="78"/>
      <c r="G35" s="73"/>
      <c r="H35" s="78"/>
      <c r="I35" s="78"/>
      <c r="J35" s="78"/>
    </row>
    <row r="36" spans="1:10" x14ac:dyDescent="0.25">
      <c r="A36">
        <v>2010</v>
      </c>
      <c r="B36">
        <v>13.4</v>
      </c>
      <c r="C36">
        <v>64.099999999999994</v>
      </c>
      <c r="D36">
        <v>22.5</v>
      </c>
      <c r="F36" s="78"/>
      <c r="G36" s="73"/>
      <c r="H36" s="78"/>
      <c r="I36" s="78"/>
      <c r="J36" s="78"/>
    </row>
    <row r="37" spans="1:10" x14ac:dyDescent="0.25">
      <c r="A37">
        <v>2015</v>
      </c>
      <c r="B37" s="6">
        <f>D22+D23/2</f>
        <v>12.867594230206173</v>
      </c>
      <c r="C37" s="6">
        <f>SUM(D24:D27)+D23/2+D28/2</f>
        <v>64.266245776967708</v>
      </c>
      <c r="D37" s="6">
        <f>SUM(D29:D30)+D28/2</f>
        <v>22.866159992826113</v>
      </c>
      <c r="F37" s="78"/>
      <c r="G37" s="79"/>
      <c r="H37" s="78"/>
      <c r="I37" s="80"/>
      <c r="J37" s="78"/>
    </row>
    <row r="38" spans="1:10" x14ac:dyDescent="0.25">
      <c r="A38">
        <v>2020</v>
      </c>
      <c r="B38">
        <v>12.2</v>
      </c>
      <c r="C38">
        <v>60</v>
      </c>
      <c r="D38">
        <v>27.8</v>
      </c>
      <c r="F38" s="78"/>
      <c r="G38" s="73"/>
      <c r="H38" s="78"/>
      <c r="I38" s="78"/>
      <c r="J38" s="78"/>
    </row>
    <row r="39" spans="1:10" x14ac:dyDescent="0.25">
      <c r="A39">
        <v>2030</v>
      </c>
      <c r="B39">
        <v>11.3</v>
      </c>
      <c r="C39">
        <v>59.2</v>
      </c>
      <c r="D39">
        <v>29.6</v>
      </c>
      <c r="F39" s="78"/>
      <c r="G39" s="73"/>
      <c r="H39" s="78"/>
      <c r="I39" s="78"/>
      <c r="J39" s="78"/>
    </row>
    <row r="40" spans="1:10" x14ac:dyDescent="0.25">
      <c r="A40">
        <v>2040</v>
      </c>
      <c r="B40">
        <v>11</v>
      </c>
      <c r="C40">
        <v>55.8</v>
      </c>
      <c r="D40">
        <v>33.200000000000003</v>
      </c>
    </row>
    <row r="41" spans="1:10" x14ac:dyDescent="0.25">
      <c r="A41">
        <v>2050</v>
      </c>
      <c r="B41">
        <v>10.8</v>
      </c>
      <c r="C41">
        <v>53.6</v>
      </c>
      <c r="D41">
        <v>35.700000000000003</v>
      </c>
    </row>
  </sheetData>
  <mergeCells count="1">
    <mergeCell ref="A21:C21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22"/>
  <sheetViews>
    <sheetView topLeftCell="A16" zoomScaleNormal="100" workbookViewId="0">
      <selection activeCell="E4" sqref="E4"/>
    </sheetView>
  </sheetViews>
  <sheetFormatPr defaultRowHeight="15" x14ac:dyDescent="0.25"/>
  <cols>
    <col min="3" max="7" width="9.140625" customWidth="1"/>
    <col min="8" max="8" width="11.85546875" customWidth="1"/>
    <col min="9" max="9" width="9.140625" customWidth="1"/>
    <col min="10" max="10" width="13.42578125" customWidth="1"/>
    <col min="12" max="14" width="9.140625" customWidth="1"/>
    <col min="15" max="15" width="11.7109375" customWidth="1"/>
    <col min="16" max="16" width="13.5703125" customWidth="1"/>
    <col min="18" max="21" width="9.140625" customWidth="1"/>
    <col min="22" max="22" width="13.5703125" customWidth="1"/>
    <col min="24" max="27" width="9.140625" customWidth="1"/>
    <col min="28" max="28" width="15.140625" customWidth="1"/>
    <col min="30" max="33" width="9.140625" customWidth="1"/>
    <col min="34" max="34" width="14.7109375" customWidth="1"/>
  </cols>
  <sheetData>
    <row r="1" spans="1:35" x14ac:dyDescent="0.25">
      <c r="A1" t="s">
        <v>88</v>
      </c>
    </row>
    <row r="2" spans="1:35" ht="21" x14ac:dyDescent="0.35">
      <c r="A2" t="s">
        <v>97</v>
      </c>
      <c r="E2" s="106">
        <v>2010</v>
      </c>
      <c r="F2" s="106"/>
      <c r="G2" s="106"/>
      <c r="H2" s="106"/>
      <c r="I2" s="106"/>
      <c r="J2" s="106"/>
      <c r="K2" s="106"/>
      <c r="M2" s="107">
        <v>2020</v>
      </c>
      <c r="N2" s="107"/>
      <c r="O2" s="107"/>
      <c r="P2" s="107"/>
      <c r="Q2" s="107"/>
      <c r="S2" s="107">
        <v>2030</v>
      </c>
      <c r="T2" s="107"/>
      <c r="U2" s="107"/>
      <c r="V2" s="107"/>
      <c r="W2" s="107"/>
      <c r="Y2" s="107">
        <v>2040</v>
      </c>
      <c r="Z2" s="107"/>
      <c r="AA2" s="107"/>
      <c r="AB2" s="107"/>
      <c r="AC2" s="107"/>
      <c r="AE2" s="107">
        <v>2050</v>
      </c>
      <c r="AF2" s="107"/>
      <c r="AG2" s="107"/>
      <c r="AH2" s="107"/>
      <c r="AI2" s="107"/>
    </row>
    <row r="3" spans="1:35" ht="42" customHeight="1" x14ac:dyDescent="0.25">
      <c r="A3" s="11" t="s">
        <v>1</v>
      </c>
      <c r="B3" s="11" t="s">
        <v>21</v>
      </c>
      <c r="C3" s="12" t="s">
        <v>29</v>
      </c>
      <c r="D3" s="11" t="s">
        <v>30</v>
      </c>
      <c r="E3" s="11" t="s">
        <v>31</v>
      </c>
      <c r="F3" s="16" t="s">
        <v>32</v>
      </c>
      <c r="G3" s="16" t="s">
        <v>32</v>
      </c>
      <c r="H3" s="16" t="s">
        <v>43</v>
      </c>
      <c r="I3" s="16" t="s">
        <v>86</v>
      </c>
      <c r="J3" s="16" t="s">
        <v>87</v>
      </c>
      <c r="K3" s="74" t="s">
        <v>92</v>
      </c>
      <c r="M3" s="11" t="s">
        <v>30</v>
      </c>
      <c r="N3" s="11" t="s">
        <v>31</v>
      </c>
      <c r="O3" s="16" t="s">
        <v>43</v>
      </c>
      <c r="P3" s="16" t="s">
        <v>87</v>
      </c>
      <c r="Q3" s="74" t="s">
        <v>93</v>
      </c>
      <c r="S3" s="11" t="s">
        <v>30</v>
      </c>
      <c r="T3" s="11" t="s">
        <v>31</v>
      </c>
      <c r="U3" s="16" t="s">
        <v>43</v>
      </c>
      <c r="V3" s="16" t="s">
        <v>87</v>
      </c>
      <c r="W3" s="74" t="s">
        <v>94</v>
      </c>
      <c r="Y3" s="11" t="s">
        <v>30</v>
      </c>
      <c r="Z3" s="11" t="s">
        <v>31</v>
      </c>
      <c r="AA3" s="16" t="s">
        <v>43</v>
      </c>
      <c r="AB3" s="16" t="s">
        <v>87</v>
      </c>
      <c r="AC3" s="74" t="s">
        <v>95</v>
      </c>
      <c r="AE3" s="11" t="s">
        <v>30</v>
      </c>
      <c r="AF3" s="11" t="s">
        <v>31</v>
      </c>
      <c r="AG3" s="16" t="s">
        <v>43</v>
      </c>
      <c r="AH3" s="16" t="s">
        <v>87</v>
      </c>
      <c r="AI3" s="74" t="s">
        <v>96</v>
      </c>
    </row>
    <row r="4" spans="1:35" x14ac:dyDescent="0.25">
      <c r="A4" t="s">
        <v>2</v>
      </c>
      <c r="B4" t="s">
        <v>18</v>
      </c>
      <c r="C4" s="14">
        <v>3.4242730436734301E-2</v>
      </c>
      <c r="E4">
        <f>E$19*$C4</f>
        <v>16926.030370494696</v>
      </c>
      <c r="F4" s="17">
        <v>243.88196721312318</v>
      </c>
      <c r="G4" s="17">
        <f>F4*80/160</f>
        <v>121.94098360656157</v>
      </c>
      <c r="H4" s="69">
        <f>$G4*E4</f>
        <v>2063976.7919326571</v>
      </c>
      <c r="I4" s="71">
        <v>18</v>
      </c>
      <c r="J4" s="72">
        <f>H4*$I4</f>
        <v>37151582.254787825</v>
      </c>
      <c r="K4" s="75">
        <f>J4/J$22*100</f>
        <v>0.2004356229351256</v>
      </c>
      <c r="N4">
        <f>N$19*$C4</f>
        <v>16009.414450615899</v>
      </c>
      <c r="O4" s="69">
        <f>$G4*N4</f>
        <v>1952203.7450732032</v>
      </c>
      <c r="P4" s="72">
        <f>O4*$I4</f>
        <v>35139667.411317661</v>
      </c>
      <c r="Q4" s="75">
        <f>P4/P$22*100</f>
        <v>0.17992446381518667</v>
      </c>
      <c r="T4">
        <f>T$19*$C4</f>
        <v>14931.381328179561</v>
      </c>
      <c r="U4" s="69">
        <f>$G4*T4</f>
        <v>1820747.3257628635</v>
      </c>
      <c r="V4" s="72">
        <f>U4*$I4</f>
        <v>32773451.863731544</v>
      </c>
      <c r="W4" s="75">
        <f>V4/V$22*100</f>
        <v>0.16518883488854694</v>
      </c>
      <c r="Z4">
        <f>Z$19*$C4</f>
        <v>14315.275790822452</v>
      </c>
      <c r="AA4" s="69">
        <f>$G4*Z4</f>
        <v>1745618.8105320884</v>
      </c>
      <c r="AB4" s="72">
        <f>AA4*$I4</f>
        <v>31421138.589577593</v>
      </c>
      <c r="AC4" s="75">
        <f>AB4/AB$22*100</f>
        <v>0.15996150026300815</v>
      </c>
      <c r="AF4">
        <f>AF$19*$C4</f>
        <v>13652.734662592373</v>
      </c>
      <c r="AG4" s="69">
        <f>$G4*AF4</f>
        <v>1664827.8936759115</v>
      </c>
      <c r="AH4" s="72">
        <f>AG4*$I4</f>
        <v>29966902.086166408</v>
      </c>
      <c r="AI4" s="75">
        <f>AH4/AH$22*100</f>
        <v>0.15622148279797698</v>
      </c>
    </row>
    <row r="5" spans="1:35" x14ac:dyDescent="0.25">
      <c r="B5" t="s">
        <v>19</v>
      </c>
      <c r="C5" s="14">
        <v>0.4751272946065358</v>
      </c>
      <c r="E5">
        <f>E$20*$C5</f>
        <v>1123440.1477167939</v>
      </c>
      <c r="F5" s="17">
        <v>355.47039550898205</v>
      </c>
      <c r="G5" s="17">
        <f>F5*80/160</f>
        <v>177.73519775449103</v>
      </c>
      <c r="H5" s="69">
        <f>$G5*E5</f>
        <v>199674856.81977898</v>
      </c>
      <c r="I5" s="71">
        <v>18</v>
      </c>
      <c r="J5" s="72">
        <f t="shared" ref="J5:J18" si="0">H5*I5</f>
        <v>3594147422.7560215</v>
      </c>
      <c r="K5" s="75">
        <f t="shared" ref="K5:K22" si="1">J5/J$22*100</f>
        <v>19.390699773168883</v>
      </c>
      <c r="N5">
        <f>N$20*$C5</f>
        <v>1092467.3352790494</v>
      </c>
      <c r="O5" s="69">
        <f>$G5*N5</f>
        <v>194169897.87614369</v>
      </c>
      <c r="P5" s="72">
        <f t="shared" ref="P5:P18" si="2">O5*$I5</f>
        <v>3495058161.7705865</v>
      </c>
      <c r="Q5" s="75">
        <f t="shared" ref="Q5:Q22" si="3">P5/P$22*100</f>
        <v>17.89562941500488</v>
      </c>
      <c r="T5">
        <f>T$20*$C5</f>
        <v>1085387.5687030442</v>
      </c>
      <c r="U5" s="69">
        <f>$G5*T5</f>
        <v>192911574.16370177</v>
      </c>
      <c r="V5" s="72">
        <f t="shared" ref="V5:V18" si="4">U5*$I5</f>
        <v>3472408334.9466319</v>
      </c>
      <c r="W5" s="75">
        <f t="shared" ref="W5:W22" si="5">V5/V$22*100</f>
        <v>17.502065070597162</v>
      </c>
      <c r="Z5">
        <f>Z$20*$C5</f>
        <v>1007587.6277125048</v>
      </c>
      <c r="AA5" s="69">
        <f>$G5*Z5</f>
        <v>179083786.26646054</v>
      </c>
      <c r="AB5" s="72">
        <f t="shared" ref="AB5:AB18" si="6">AA5*$I5</f>
        <v>3223508152.7962894</v>
      </c>
      <c r="AC5" s="75">
        <f t="shared" ref="AC5:AC22" si="7">AB5/AB$22*100</f>
        <v>16.410519267508967</v>
      </c>
      <c r="AF5">
        <f>AF$20*$C5</f>
        <v>940161.09826550586</v>
      </c>
      <c r="AG5" s="69">
        <f>$G5*AF5</f>
        <v>167099718.72129914</v>
      </c>
      <c r="AH5" s="72">
        <f t="shared" ref="AH5:AH18" si="8">AG5*$I5</f>
        <v>3007794936.9833846</v>
      </c>
      <c r="AI5" s="75">
        <f t="shared" ref="AI5:AI22" si="9">AH5/AH$22*100</f>
        <v>15.680038719274336</v>
      </c>
    </row>
    <row r="6" spans="1:35" x14ac:dyDescent="0.25">
      <c r="B6" t="s">
        <v>20</v>
      </c>
      <c r="C6" s="14">
        <v>0.29173060528559069</v>
      </c>
      <c r="E6">
        <f>E$21*$C6</f>
        <v>242128.79551150746</v>
      </c>
      <c r="F6" s="17">
        <v>364.19403857394053</v>
      </c>
      <c r="G6" s="17">
        <f>F6*80/160</f>
        <v>182.09701928697027</v>
      </c>
      <c r="H6" s="69">
        <f>$G6*E6</f>
        <v>44090931.946189851</v>
      </c>
      <c r="I6" s="71">
        <v>18</v>
      </c>
      <c r="J6" s="72">
        <f t="shared" si="0"/>
        <v>793636775.03141737</v>
      </c>
      <c r="K6" s="75">
        <f t="shared" si="1"/>
        <v>4.2817309986076326</v>
      </c>
      <c r="N6">
        <f>N$21*$C6</f>
        <v>310794.99692327995</v>
      </c>
      <c r="O6" s="69">
        <f>$G6*N6</f>
        <v>56594842.549032375</v>
      </c>
      <c r="P6" s="72">
        <f t="shared" si="2"/>
        <v>1018707165.8825828</v>
      </c>
      <c r="Q6" s="75">
        <f t="shared" si="3"/>
        <v>5.2160522312478861</v>
      </c>
      <c r="T6">
        <f>T$21*$C6</f>
        <v>333216.77788413787</v>
      </c>
      <c r="U6" s="69">
        <f>$G6*T6</f>
        <v>60677782.02910994</v>
      </c>
      <c r="V6" s="72">
        <f t="shared" si="4"/>
        <v>1092200076.5239789</v>
      </c>
      <c r="W6" s="75">
        <f t="shared" si="5"/>
        <v>5.5050428882603386</v>
      </c>
      <c r="Z6">
        <f>Z$21*$C6</f>
        <v>368093.98772280791</v>
      </c>
      <c r="AA6" s="69">
        <f>$G6*Z6</f>
        <v>67028817.981777951</v>
      </c>
      <c r="AB6" s="72">
        <f t="shared" si="6"/>
        <v>1206518723.672003</v>
      </c>
      <c r="AC6" s="75">
        <f t="shared" si="7"/>
        <v>6.1422518023583148</v>
      </c>
      <c r="AF6">
        <f>AF$21*$C6</f>
        <v>384483.50856652076</v>
      </c>
      <c r="AG6" s="69">
        <f>$G6*AF6</f>
        <v>70013300.874959722</v>
      </c>
      <c r="AH6" s="72">
        <f t="shared" si="8"/>
        <v>1260239415.749275</v>
      </c>
      <c r="AI6" s="75">
        <f t="shared" si="9"/>
        <v>6.569797226377025</v>
      </c>
    </row>
    <row r="7" spans="1:35" x14ac:dyDescent="0.25">
      <c r="A7" t="s">
        <v>3</v>
      </c>
      <c r="B7" t="s">
        <v>18</v>
      </c>
      <c r="C7" s="14">
        <v>1.7102653343812824E-2</v>
      </c>
      <c r="E7">
        <f>E$19*C7</f>
        <v>8453.7659883242068</v>
      </c>
      <c r="F7" s="17">
        <v>52.04157549233819</v>
      </c>
      <c r="G7" s="17"/>
      <c r="H7" s="69">
        <f>$F7*E7</f>
        <v>439947.30087593518</v>
      </c>
      <c r="I7" s="71">
        <v>48</v>
      </c>
      <c r="J7" s="72">
        <f t="shared" si="0"/>
        <v>21117470.442044888</v>
      </c>
      <c r="K7" s="75">
        <f t="shared" si="1"/>
        <v>0.11393036543739374</v>
      </c>
      <c r="N7">
        <f>N$19*$C7</f>
        <v>7995.9589114011014</v>
      </c>
      <c r="O7" s="69">
        <f>$F7*N7</f>
        <v>416122.29932131473</v>
      </c>
      <c r="P7" s="72">
        <f t="shared" si="2"/>
        <v>19973870.367423106</v>
      </c>
      <c r="Q7" s="75">
        <f t="shared" si="3"/>
        <v>0.10227154042485823</v>
      </c>
      <c r="T7">
        <f>T$19*$C7</f>
        <v>7457.5314393208355</v>
      </c>
      <c r="U7" s="69">
        <f>$F7*T7</f>
        <v>388101.68538590072</v>
      </c>
      <c r="V7" s="72">
        <f t="shared" si="4"/>
        <v>18628880.898523234</v>
      </c>
      <c r="W7" s="75">
        <f t="shared" si="5"/>
        <v>9.3895606227246659E-2</v>
      </c>
      <c r="Z7">
        <f>Z$19*$C7</f>
        <v>7149.8153403348033</v>
      </c>
      <c r="AA7" s="69">
        <f>$F7*Z7</f>
        <v>372087.65479031135</v>
      </c>
      <c r="AB7" s="72">
        <f t="shared" si="6"/>
        <v>17860207.429934945</v>
      </c>
      <c r="AC7" s="75">
        <f t="shared" si="7"/>
        <v>9.0924317314477227E-2</v>
      </c>
      <c r="AF7">
        <f>AF$19*$C7</f>
        <v>6818.9068205521053</v>
      </c>
      <c r="AG7" s="69">
        <f>$F7*AF7</f>
        <v>354866.65407698217</v>
      </c>
      <c r="AH7" s="72">
        <f t="shared" si="8"/>
        <v>17033599.395695142</v>
      </c>
      <c r="AI7" s="75">
        <f t="shared" si="9"/>
        <v>8.8798439936526558E-2</v>
      </c>
    </row>
    <row r="8" spans="1:35" x14ac:dyDescent="0.25">
      <c r="B8" t="s">
        <v>19</v>
      </c>
      <c r="C8" s="14">
        <v>3.7157935282887841E-2</v>
      </c>
      <c r="E8">
        <f>E$20*C8</f>
        <v>87860.06776905623</v>
      </c>
      <c r="F8" s="17">
        <v>62.559246368038707</v>
      </c>
      <c r="G8" s="17"/>
      <c r="H8" s="69">
        <f t="shared" ref="H8:H18" si="10">$F8*E8</f>
        <v>5496459.6254769657</v>
      </c>
      <c r="I8" s="71">
        <v>48</v>
      </c>
      <c r="J8" s="72">
        <f t="shared" si="0"/>
        <v>263830062.02289435</v>
      </c>
      <c r="K8" s="75">
        <f t="shared" si="1"/>
        <v>1.4233833290843687</v>
      </c>
      <c r="N8">
        <f>N$20*$C8</f>
        <v>85437.799519778302</v>
      </c>
      <c r="O8" s="69">
        <f t="shared" ref="O8:O18" si="11">$F8*N8</f>
        <v>5344924.3493009098</v>
      </c>
      <c r="P8" s="72">
        <f t="shared" si="2"/>
        <v>256556368.76644367</v>
      </c>
      <c r="Q8" s="75">
        <f t="shared" si="3"/>
        <v>1.313636994577996</v>
      </c>
      <c r="T8">
        <f>T$20*$C8</f>
        <v>84884.117356628733</v>
      </c>
      <c r="U8" s="69">
        <f t="shared" ref="U8:U18" si="12">$F8*T8</f>
        <v>5310286.4104468478</v>
      </c>
      <c r="V8" s="72">
        <f t="shared" si="4"/>
        <v>254893747.70144868</v>
      </c>
      <c r="W8" s="75">
        <f t="shared" si="5"/>
        <v>1.2847472209594542</v>
      </c>
      <c r="Z8">
        <f>Z$20*$C8</f>
        <v>78799.673871366613</v>
      </c>
      <c r="AA8" s="69">
        <f t="shared" ref="AA8:AA18" si="13">$F8*Z8</f>
        <v>4929648.2114399262</v>
      </c>
      <c r="AB8" s="72">
        <f t="shared" si="6"/>
        <v>236623114.14911646</v>
      </c>
      <c r="AC8" s="75">
        <f t="shared" si="7"/>
        <v>1.2046217939649315</v>
      </c>
      <c r="AF8">
        <f>AF$20*$C8</f>
        <v>73526.496249322969</v>
      </c>
      <c r="AG8" s="69">
        <f t="shared" ref="AG8:AG18" si="14">$F8*AF8</f>
        <v>4599762.1934400694</v>
      </c>
      <c r="AH8" s="72">
        <f t="shared" si="8"/>
        <v>220788585.28512335</v>
      </c>
      <c r="AI8" s="75">
        <f t="shared" si="9"/>
        <v>1.1510005298155945</v>
      </c>
    </row>
    <row r="9" spans="1:35" x14ac:dyDescent="0.25">
      <c r="B9" t="s">
        <v>20</v>
      </c>
      <c r="C9" s="14">
        <v>9.0010075176316123E-2</v>
      </c>
      <c r="E9">
        <f>E$21*C9</f>
        <v>74706.01538363217</v>
      </c>
      <c r="F9" s="17">
        <v>60.195970380574359</v>
      </c>
      <c r="G9" s="17"/>
      <c r="H9" s="69">
        <f t="shared" si="10"/>
        <v>4497001.0892838547</v>
      </c>
      <c r="I9" s="71">
        <v>48</v>
      </c>
      <c r="J9" s="72">
        <f t="shared" si="0"/>
        <v>215856052.28562504</v>
      </c>
      <c r="K9" s="75">
        <f t="shared" si="1"/>
        <v>1.1645598835460256</v>
      </c>
      <c r="N9">
        <f>N$21*$C9</f>
        <v>95892.17082692252</v>
      </c>
      <c r="O9" s="69">
        <f t="shared" si="11"/>
        <v>5772322.2748264046</v>
      </c>
      <c r="P9" s="72">
        <f t="shared" si="2"/>
        <v>277071469.19166744</v>
      </c>
      <c r="Q9" s="75">
        <f t="shared" si="3"/>
        <v>1.4186797771666058</v>
      </c>
      <c r="T9">
        <f>T$21*$C9</f>
        <v>102810.14978870474</v>
      </c>
      <c r="U9" s="69">
        <f t="shared" si="12"/>
        <v>6188756.7315032836</v>
      </c>
      <c r="V9" s="72">
        <f t="shared" si="4"/>
        <v>297060323.11215758</v>
      </c>
      <c r="W9" s="75">
        <f t="shared" si="5"/>
        <v>1.4972804473128034</v>
      </c>
      <c r="Z9">
        <f>Z$21*$C9</f>
        <v>113571.10603614961</v>
      </c>
      <c r="AA9" s="69">
        <f t="shared" si="13"/>
        <v>6836522.9350411315</v>
      </c>
      <c r="AB9" s="72">
        <f t="shared" si="6"/>
        <v>328153100.88197434</v>
      </c>
      <c r="AC9" s="75">
        <f t="shared" si="7"/>
        <v>1.6705907134266118</v>
      </c>
      <c r="AF9">
        <f>AF$21*$C9</f>
        <v>118627.90150607371</v>
      </c>
      <c r="AG9" s="69">
        <f t="shared" si="14"/>
        <v>7140921.6453693053</v>
      </c>
      <c r="AH9" s="72">
        <f t="shared" si="8"/>
        <v>342764238.97772664</v>
      </c>
      <c r="AI9" s="75">
        <f t="shared" si="9"/>
        <v>1.786875984352734</v>
      </c>
    </row>
    <row r="10" spans="1:35" x14ac:dyDescent="0.25">
      <c r="A10" t="s">
        <v>4</v>
      </c>
      <c r="B10" t="s">
        <v>18</v>
      </c>
      <c r="C10" s="14">
        <v>0.29942741663861017</v>
      </c>
      <c r="E10">
        <f>E$19*C10</f>
        <v>148005.64917413832</v>
      </c>
      <c r="F10" s="17">
        <v>40.686914135729978</v>
      </c>
      <c r="G10" s="17"/>
      <c r="H10" s="69">
        <f t="shared" si="10"/>
        <v>6021893.1395511404</v>
      </c>
      <c r="I10" s="71">
        <v>167</v>
      </c>
      <c r="J10" s="72">
        <f t="shared" si="0"/>
        <v>1005656154.3050405</v>
      </c>
      <c r="K10" s="75">
        <f t="shared" si="1"/>
        <v>5.4255917383087171</v>
      </c>
      <c r="N10">
        <f>N$19*$C10</f>
        <v>139990.51914686977</v>
      </c>
      <c r="O10" s="69">
        <f t="shared" si="11"/>
        <v>5695782.2323449543</v>
      </c>
      <c r="P10" s="72">
        <f t="shared" si="2"/>
        <v>951195632.80160737</v>
      </c>
      <c r="Q10" s="75">
        <f t="shared" si="3"/>
        <v>4.8703751863074007</v>
      </c>
      <c r="T10">
        <f>T$19*$C10</f>
        <v>130563.91476149962</v>
      </c>
      <c r="U10" s="69">
        <f t="shared" si="12"/>
        <v>5312242.7891259026</v>
      </c>
      <c r="V10" s="72">
        <f t="shared" si="4"/>
        <v>887144545.78402579</v>
      </c>
      <c r="W10" s="75">
        <f t="shared" si="5"/>
        <v>4.4714964571054745</v>
      </c>
      <c r="Z10">
        <f>Z$19*$C10</f>
        <v>125176.5263413963</v>
      </c>
      <c r="AA10" s="69">
        <f t="shared" si="13"/>
        <v>5093046.5790613331</v>
      </c>
      <c r="AB10" s="72">
        <f t="shared" si="6"/>
        <v>850538778.70324266</v>
      </c>
      <c r="AC10" s="75">
        <f t="shared" si="7"/>
        <v>4.3299977397498379</v>
      </c>
      <c r="AF10">
        <f>AF$19*$C10</f>
        <v>119383.09293487259</v>
      </c>
      <c r="AG10" s="69">
        <f t="shared" si="14"/>
        <v>4857329.651499033</v>
      </c>
      <c r="AH10" s="72">
        <f t="shared" si="8"/>
        <v>811174051.80033851</v>
      </c>
      <c r="AI10" s="75">
        <f t="shared" si="9"/>
        <v>4.2287592095811206</v>
      </c>
    </row>
    <row r="11" spans="1:35" x14ac:dyDescent="0.25">
      <c r="B11" t="s">
        <v>19</v>
      </c>
      <c r="C11" s="14">
        <v>0.28458603597143833</v>
      </c>
      <c r="E11">
        <f>E$20*C11</f>
        <v>672904.67611348955</v>
      </c>
      <c r="F11" s="17">
        <v>77.270393898379339</v>
      </c>
      <c r="G11" s="17"/>
      <c r="H11" s="69">
        <f t="shared" si="10"/>
        <v>51995609.379350707</v>
      </c>
      <c r="I11" s="71">
        <v>167</v>
      </c>
      <c r="J11" s="72">
        <f t="shared" si="0"/>
        <v>8683266766.3515682</v>
      </c>
      <c r="K11" s="75">
        <f t="shared" si="1"/>
        <v>46.846887206298071</v>
      </c>
      <c r="N11">
        <f>N$20*$C11</f>
        <v>654352.95320764382</v>
      </c>
      <c r="O11" s="69">
        <f t="shared" si="11"/>
        <v>50562110.442922421</v>
      </c>
      <c r="P11" s="72">
        <f t="shared" si="2"/>
        <v>8443872443.9680443</v>
      </c>
      <c r="Q11" s="75">
        <f t="shared" si="3"/>
        <v>43.234877673186581</v>
      </c>
      <c r="T11">
        <f>T$20*$C11</f>
        <v>650112.39972157881</v>
      </c>
      <c r="U11" s="69">
        <f t="shared" si="12"/>
        <v>50234441.204707034</v>
      </c>
      <c r="V11" s="72">
        <f t="shared" si="4"/>
        <v>8389151681.1860743</v>
      </c>
      <c r="W11" s="75">
        <f t="shared" si="5"/>
        <v>42.284047395446905</v>
      </c>
      <c r="Z11">
        <f>Z$20*$C11</f>
        <v>603512.72620956833</v>
      </c>
      <c r="AA11" s="69">
        <f t="shared" si="13"/>
        <v>46633666.076898105</v>
      </c>
      <c r="AB11" s="72">
        <f t="shared" si="6"/>
        <v>7787822234.8419838</v>
      </c>
      <c r="AC11" s="75">
        <f t="shared" si="7"/>
        <v>39.646931473073771</v>
      </c>
      <c r="AF11">
        <f>AF$20*$C11</f>
        <v>563126.39405720588</v>
      </c>
      <c r="AG11" s="69">
        <f t="shared" si="14"/>
        <v>43512998.28337428</v>
      </c>
      <c r="AH11" s="72">
        <f t="shared" si="8"/>
        <v>7266670713.3235044</v>
      </c>
      <c r="AI11" s="75">
        <f t="shared" si="9"/>
        <v>37.882129776907341</v>
      </c>
    </row>
    <row r="12" spans="1:35" x14ac:dyDescent="0.25">
      <c r="B12" t="s">
        <v>20</v>
      </c>
      <c r="C12" s="14">
        <v>0.36693792141361981</v>
      </c>
      <c r="E12">
        <f>E$21*C12</f>
        <v>304548.90686700359</v>
      </c>
      <c r="F12" s="17">
        <v>77.089701347527978</v>
      </c>
      <c r="G12" s="17"/>
      <c r="H12" s="69">
        <f t="shared" si="10"/>
        <v>23477584.27609342</v>
      </c>
      <c r="I12" s="71">
        <v>167</v>
      </c>
      <c r="J12" s="72">
        <f t="shared" si="0"/>
        <v>3920756574.1076012</v>
      </c>
      <c r="K12" s="75">
        <f t="shared" si="1"/>
        <v>21.152781082613785</v>
      </c>
      <c r="N12">
        <f>N$21*$C12</f>
        <v>390917.05871976796</v>
      </c>
      <c r="O12" s="69">
        <f t="shared" si="11"/>
        <v>30135679.308360968</v>
      </c>
      <c r="P12" s="72">
        <f t="shared" si="2"/>
        <v>5032658444.4962816</v>
      </c>
      <c r="Q12" s="75">
        <f t="shared" si="3"/>
        <v>25.768552718268616</v>
      </c>
      <c r="T12">
        <f>T$21*$C12</f>
        <v>419119.11071946961</v>
      </c>
      <c r="U12" s="69">
        <f t="shared" si="12"/>
        <v>32309767.074405424</v>
      </c>
      <c r="V12" s="72">
        <f t="shared" si="4"/>
        <v>5395731101.4257059</v>
      </c>
      <c r="W12" s="75">
        <f t="shared" si="5"/>
        <v>27.19623607920208</v>
      </c>
      <c r="Z12">
        <f>Z$21*$C12</f>
        <v>462987.56555772643</v>
      </c>
      <c r="AA12" s="69">
        <f t="shared" si="13"/>
        <v>35691573.156464159</v>
      </c>
      <c r="AB12" s="72">
        <f t="shared" si="6"/>
        <v>5960492717.1295147</v>
      </c>
      <c r="AC12" s="75">
        <f t="shared" si="7"/>
        <v>30.344201392340082</v>
      </c>
      <c r="AF12">
        <f>AF$21*$C12</f>
        <v>483602.2580253536</v>
      </c>
      <c r="AG12" s="69">
        <f t="shared" si="14"/>
        <v>37280753.642164677</v>
      </c>
      <c r="AH12" s="72">
        <f t="shared" si="8"/>
        <v>6225885858.2415009</v>
      </c>
      <c r="AI12" s="75">
        <f t="shared" si="9"/>
        <v>32.45637863095736</v>
      </c>
    </row>
    <row r="13" spans="1:35" x14ac:dyDescent="0.25">
      <c r="A13" t="s">
        <v>5</v>
      </c>
      <c r="B13" t="s">
        <v>18</v>
      </c>
      <c r="C13" s="14">
        <v>0.17671494330301593</v>
      </c>
      <c r="E13">
        <f>E$19*C13</f>
        <v>87349.415748061278</v>
      </c>
      <c r="F13" s="17">
        <v>3.4834109840464751</v>
      </c>
      <c r="G13" s="17"/>
      <c r="H13" s="69">
        <f t="shared" si="10"/>
        <v>304273.91426683881</v>
      </c>
      <c r="I13" s="71">
        <v>0</v>
      </c>
      <c r="J13" s="72">
        <f t="shared" si="0"/>
        <v>0</v>
      </c>
      <c r="K13" s="75">
        <f t="shared" si="1"/>
        <v>0</v>
      </c>
      <c r="N13">
        <f>N$19*$C13</f>
        <v>82619.076541867078</v>
      </c>
      <c r="O13" s="69">
        <f t="shared" si="11"/>
        <v>287796.19871771627</v>
      </c>
      <c r="P13" s="72">
        <f t="shared" si="2"/>
        <v>0</v>
      </c>
      <c r="Q13" s="75">
        <f t="shared" si="3"/>
        <v>0</v>
      </c>
      <c r="T13">
        <f>T$19*$C13</f>
        <v>77055.718723130034</v>
      </c>
      <c r="U13" s="69">
        <f t="shared" si="12"/>
        <v>268416.73698374681</v>
      </c>
      <c r="V13" s="72">
        <f t="shared" si="4"/>
        <v>0</v>
      </c>
      <c r="W13" s="75">
        <f t="shared" si="5"/>
        <v>0</v>
      </c>
      <c r="Z13">
        <f>Z$19*$C13</f>
        <v>73876.210146736281</v>
      </c>
      <c r="AA13" s="69">
        <f t="shared" si="13"/>
        <v>257341.20188486681</v>
      </c>
      <c r="AB13" s="72">
        <f t="shared" si="6"/>
        <v>0</v>
      </c>
      <c r="AC13" s="75">
        <f t="shared" si="7"/>
        <v>0</v>
      </c>
      <c r="AF13">
        <f>AF$19*$C13</f>
        <v>70457.063471870235</v>
      </c>
      <c r="AG13" s="69">
        <f t="shared" si="14"/>
        <v>245430.90880157246</v>
      </c>
      <c r="AH13" s="72">
        <f t="shared" si="8"/>
        <v>0</v>
      </c>
      <c r="AI13" s="75">
        <f t="shared" si="9"/>
        <v>0</v>
      </c>
    </row>
    <row r="14" spans="1:35" x14ac:dyDescent="0.25">
      <c r="B14" t="s">
        <v>19</v>
      </c>
      <c r="C14" s="14">
        <v>0.16498955495387566</v>
      </c>
      <c r="E14">
        <f>E$20*C14</f>
        <v>390118.37899695442</v>
      </c>
      <c r="F14" s="17">
        <v>5.9683633822978219</v>
      </c>
      <c r="G14" s="17"/>
      <c r="H14" s="69">
        <f t="shared" si="10"/>
        <v>2328368.2479668064</v>
      </c>
      <c r="I14" s="71">
        <v>0</v>
      </c>
      <c r="J14" s="72">
        <f t="shared" si="0"/>
        <v>0</v>
      </c>
      <c r="K14" s="75">
        <f t="shared" si="1"/>
        <v>0</v>
      </c>
      <c r="N14">
        <f>N$20*$C14</f>
        <v>379362.9654524533</v>
      </c>
      <c r="O14" s="69">
        <f t="shared" si="11"/>
        <v>2264176.0316063361</v>
      </c>
      <c r="P14" s="72">
        <f t="shared" si="2"/>
        <v>0</v>
      </c>
      <c r="Q14" s="75">
        <f t="shared" si="3"/>
        <v>0</v>
      </c>
      <c r="T14">
        <f>T$20*$C14</f>
        <v>376904.49263935222</v>
      </c>
      <c r="U14" s="69">
        <f t="shared" si="12"/>
        <v>2249502.9724922488</v>
      </c>
      <c r="V14" s="72">
        <f t="shared" si="4"/>
        <v>0</v>
      </c>
      <c r="W14" s="75">
        <f t="shared" si="5"/>
        <v>0</v>
      </c>
      <c r="Z14">
        <f>Z$20*$C14</f>
        <v>349888.20082623541</v>
      </c>
      <c r="AA14" s="69">
        <f t="shared" si="13"/>
        <v>2088259.9257093698</v>
      </c>
      <c r="AB14" s="72">
        <f t="shared" si="6"/>
        <v>0</v>
      </c>
      <c r="AC14" s="75">
        <f t="shared" si="7"/>
        <v>0</v>
      </c>
      <c r="AF14">
        <f>AF$20*$C14</f>
        <v>326474.1111457902</v>
      </c>
      <c r="AG14" s="69">
        <f t="shared" si="14"/>
        <v>1948516.1302307635</v>
      </c>
      <c r="AH14" s="72">
        <f t="shared" si="8"/>
        <v>0</v>
      </c>
      <c r="AI14" s="75">
        <f t="shared" si="9"/>
        <v>0</v>
      </c>
    </row>
    <row r="15" spans="1:35" x14ac:dyDescent="0.25">
      <c r="B15" t="s">
        <v>20</v>
      </c>
      <c r="C15" s="14">
        <v>0.16582965201890887</v>
      </c>
      <c r="E15">
        <f>E$21*C15</f>
        <v>137634.28716751796</v>
      </c>
      <c r="F15" s="17">
        <v>6.2630820520011659</v>
      </c>
      <c r="G15" s="17"/>
      <c r="H15" s="69">
        <f t="shared" si="10"/>
        <v>862014.83369885618</v>
      </c>
      <c r="I15" s="71">
        <v>0</v>
      </c>
      <c r="J15" s="72">
        <f t="shared" si="0"/>
        <v>0</v>
      </c>
      <c r="K15" s="75">
        <f t="shared" si="1"/>
        <v>0</v>
      </c>
      <c r="N15">
        <f>N$21*$C15</f>
        <v>176666.50414875415</v>
      </c>
      <c r="O15" s="69">
        <f t="shared" si="11"/>
        <v>1106476.8113238516</v>
      </c>
      <c r="P15" s="72">
        <f t="shared" si="2"/>
        <v>0</v>
      </c>
      <c r="Q15" s="75">
        <f t="shared" si="3"/>
        <v>0</v>
      </c>
      <c r="T15">
        <f>T$21*$C15</f>
        <v>189411.81117865359</v>
      </c>
      <c r="U15" s="69">
        <f t="shared" si="12"/>
        <v>1186301.715030059</v>
      </c>
      <c r="V15" s="72">
        <f t="shared" si="4"/>
        <v>0</v>
      </c>
      <c r="W15" s="75">
        <f t="shared" si="5"/>
        <v>0</v>
      </c>
      <c r="Z15">
        <f>Z$21*$C15</f>
        <v>209237.20990661762</v>
      </c>
      <c r="AA15" s="69">
        <f t="shared" si="13"/>
        <v>1310469.8139769374</v>
      </c>
      <c r="AB15" s="72">
        <f t="shared" si="6"/>
        <v>0</v>
      </c>
      <c r="AC15" s="75">
        <f t="shared" si="7"/>
        <v>0</v>
      </c>
      <c r="AF15">
        <f>AF$21*$C15</f>
        <v>218553.57400769947</v>
      </c>
      <c r="AG15" s="69">
        <f t="shared" si="14"/>
        <v>1368818.9667683311</v>
      </c>
      <c r="AH15" s="72">
        <f t="shared" si="8"/>
        <v>0</v>
      </c>
      <c r="AI15" s="75">
        <f t="shared" si="9"/>
        <v>0</v>
      </c>
    </row>
    <row r="16" spans="1:35" x14ac:dyDescent="0.25">
      <c r="A16" t="s">
        <v>6</v>
      </c>
      <c r="B16" t="s">
        <v>18</v>
      </c>
      <c r="C16" s="14">
        <v>0.75599715579506344</v>
      </c>
      <c r="E16">
        <f>E$19*C16</f>
        <v>373686.0541140656</v>
      </c>
      <c r="F16" s="17">
        <v>1.1162087685427786</v>
      </c>
      <c r="G16" s="17"/>
      <c r="H16" s="69">
        <f t="shared" si="10"/>
        <v>417111.65028427128</v>
      </c>
      <c r="I16" s="71">
        <v>0</v>
      </c>
      <c r="J16" s="72">
        <f t="shared" si="0"/>
        <v>0</v>
      </c>
      <c r="K16" s="75">
        <f t="shared" si="1"/>
        <v>0</v>
      </c>
      <c r="N16">
        <f>N$19*$C16</f>
        <v>353449.37848841317</v>
      </c>
      <c r="O16" s="69">
        <f t="shared" si="11"/>
        <v>394523.29550476215</v>
      </c>
      <c r="P16" s="72">
        <f t="shared" si="2"/>
        <v>0</v>
      </c>
      <c r="Q16" s="75">
        <f t="shared" si="3"/>
        <v>0</v>
      </c>
      <c r="T16">
        <f>T$19*$C16</f>
        <v>329648.99913722533</v>
      </c>
      <c r="U16" s="69">
        <f t="shared" si="12"/>
        <v>367957.1033783218</v>
      </c>
      <c r="V16" s="72">
        <f t="shared" si="4"/>
        <v>0</v>
      </c>
      <c r="W16" s="75">
        <f t="shared" si="5"/>
        <v>0</v>
      </c>
      <c r="Z16">
        <f>Z$19*$C16</f>
        <v>316046.87021902727</v>
      </c>
      <c r="AA16" s="69">
        <f t="shared" si="13"/>
        <v>352774.2878089798</v>
      </c>
      <c r="AB16" s="72">
        <f t="shared" si="6"/>
        <v>0</v>
      </c>
      <c r="AC16" s="75">
        <f t="shared" si="7"/>
        <v>0</v>
      </c>
      <c r="AF16">
        <f>AF$19*$C16</f>
        <v>301419.55510276929</v>
      </c>
      <c r="AG16" s="69">
        <f t="shared" si="14"/>
        <v>336447.15041597432</v>
      </c>
      <c r="AH16" s="72">
        <f t="shared" si="8"/>
        <v>0</v>
      </c>
      <c r="AI16" s="75">
        <f t="shared" si="9"/>
        <v>0</v>
      </c>
    </row>
    <row r="17" spans="1:35" x14ac:dyDescent="0.25">
      <c r="B17" t="s">
        <v>19</v>
      </c>
      <c r="C17" s="14">
        <v>0.25062768682293074</v>
      </c>
      <c r="E17">
        <f>E$20*C17</f>
        <v>592610.04093532974</v>
      </c>
      <c r="F17" s="17">
        <v>0.92901620279483998</v>
      </c>
      <c r="G17" s="17"/>
      <c r="H17" s="69">
        <f t="shared" si="10"/>
        <v>550544.32996783475</v>
      </c>
      <c r="I17" s="71">
        <v>0</v>
      </c>
      <c r="J17" s="72">
        <f t="shared" si="0"/>
        <v>0</v>
      </c>
      <c r="K17" s="75">
        <f t="shared" si="1"/>
        <v>0</v>
      </c>
      <c r="N17">
        <f>N$20*$C17</f>
        <v>576272.01021431887</v>
      </c>
      <c r="O17" s="69">
        <f t="shared" si="11"/>
        <v>535366.03470625577</v>
      </c>
      <c r="P17" s="72">
        <f t="shared" si="2"/>
        <v>0</v>
      </c>
      <c r="Q17" s="75">
        <f t="shared" si="3"/>
        <v>0</v>
      </c>
      <c r="T17">
        <f>T$20*$C17</f>
        <v>572537.46256712487</v>
      </c>
      <c r="U17" s="69">
        <f t="shared" si="12"/>
        <v>531896.5794319032</v>
      </c>
      <c r="V17" s="72">
        <f t="shared" si="4"/>
        <v>0</v>
      </c>
      <c r="W17" s="75">
        <f t="shared" si="5"/>
        <v>0</v>
      </c>
      <c r="Z17">
        <f>Z$20*$C17</f>
        <v>531498.31481290702</v>
      </c>
      <c r="AA17" s="69">
        <f t="shared" si="13"/>
        <v>493770.54621934332</v>
      </c>
      <c r="AB17" s="72">
        <f t="shared" si="6"/>
        <v>0</v>
      </c>
      <c r="AC17" s="75">
        <f t="shared" si="7"/>
        <v>0</v>
      </c>
      <c r="AF17">
        <f>AF$20*$C17</f>
        <v>495931.09883177927</v>
      </c>
      <c r="AG17" s="69">
        <f t="shared" si="14"/>
        <v>460728.02628457209</v>
      </c>
      <c r="AH17" s="72">
        <f t="shared" si="8"/>
        <v>0</v>
      </c>
      <c r="AI17" s="75">
        <f t="shared" si="9"/>
        <v>0</v>
      </c>
    </row>
    <row r="18" spans="1:35" x14ac:dyDescent="0.25">
      <c r="B18" t="s">
        <v>20</v>
      </c>
      <c r="C18" s="14">
        <v>0.33397659459040341</v>
      </c>
      <c r="E18">
        <f>E$21*C18</f>
        <v>277191.86507033091</v>
      </c>
      <c r="F18" s="17">
        <v>1.1815909776529738</v>
      </c>
      <c r="G18" s="17"/>
      <c r="H18" s="69">
        <f t="shared" si="10"/>
        <v>327527.40684590349</v>
      </c>
      <c r="I18" s="71">
        <v>0</v>
      </c>
      <c r="J18" s="72">
        <f t="shared" si="0"/>
        <v>0</v>
      </c>
      <c r="K18" s="75">
        <f t="shared" si="1"/>
        <v>0</v>
      </c>
      <c r="N18">
        <f>N$21*$C18</f>
        <v>355801.73217190662</v>
      </c>
      <c r="O18" s="69">
        <f t="shared" si="11"/>
        <v>420412.11656762467</v>
      </c>
      <c r="P18" s="72">
        <f t="shared" si="2"/>
        <v>0</v>
      </c>
      <c r="Q18" s="75">
        <f t="shared" si="3"/>
        <v>0</v>
      </c>
      <c r="T18">
        <f>T$21*$C18</f>
        <v>381470.44815262628</v>
      </c>
      <c r="U18" s="69">
        <f t="shared" si="12"/>
        <v>450742.03977837978</v>
      </c>
      <c r="V18" s="72">
        <f t="shared" si="4"/>
        <v>0</v>
      </c>
      <c r="W18" s="75">
        <f t="shared" si="5"/>
        <v>0</v>
      </c>
      <c r="Z18">
        <f>Z$21*$C18</f>
        <v>421398.28417562746</v>
      </c>
      <c r="AA18" s="69">
        <f t="shared" si="13"/>
        <v>497920.41058036534</v>
      </c>
      <c r="AB18" s="72">
        <f t="shared" si="6"/>
        <v>0</v>
      </c>
      <c r="AC18" s="75">
        <f t="shared" si="7"/>
        <v>0</v>
      </c>
      <c r="AF18">
        <f>AF$21*$C18</f>
        <v>440161.19851912989</v>
      </c>
      <c r="AG18" s="69">
        <f t="shared" si="14"/>
        <v>520090.50088312337</v>
      </c>
      <c r="AH18" s="72">
        <f t="shared" si="8"/>
        <v>0</v>
      </c>
      <c r="AI18" s="75">
        <f t="shared" si="9"/>
        <v>0</v>
      </c>
    </row>
    <row r="19" spans="1:35" x14ac:dyDescent="0.25">
      <c r="A19" t="s">
        <v>24</v>
      </c>
      <c r="B19" t="s">
        <v>18</v>
      </c>
      <c r="C19" s="20">
        <v>5.2248436711756628E-2</v>
      </c>
      <c r="D19">
        <f>13.4/100</f>
        <v>0.13400000000000001</v>
      </c>
      <c r="E19" s="21">
        <f>D19*E$22</f>
        <v>494295.58200000005</v>
      </c>
      <c r="F19" s="24">
        <f>(F4+F7+F10+F13+F16)/5</f>
        <v>68.242015318756131</v>
      </c>
      <c r="G19" s="24"/>
      <c r="H19" s="70">
        <f>H4+H7+H10+H13+H16</f>
        <v>9247202.7969108447</v>
      </c>
      <c r="I19" s="24"/>
      <c r="J19" s="70">
        <f>J4+J7+J10+J13+J16</f>
        <v>1063925207.0018733</v>
      </c>
      <c r="K19" s="75">
        <f t="shared" si="1"/>
        <v>5.7399577266812374</v>
      </c>
      <c r="M19" s="80">
        <v>12.2</v>
      </c>
      <c r="N19" s="21">
        <f>M19*N$22/100</f>
        <v>467527.39184144052</v>
      </c>
      <c r="O19" s="70">
        <f t="shared" ref="O19:P21" si="15">O4+O7+O10+O13+O16</f>
        <v>8746427.7709619515</v>
      </c>
      <c r="P19" s="70">
        <f t="shared" si="15"/>
        <v>1006309170.5803481</v>
      </c>
      <c r="Q19" s="75">
        <f t="shared" si="3"/>
        <v>5.1525711905474463</v>
      </c>
      <c r="S19">
        <v>11.3</v>
      </c>
      <c r="T19" s="21">
        <f>S19*T$22/100</f>
        <v>436045.290131471</v>
      </c>
      <c r="U19" s="70">
        <f t="shared" ref="U19:V21" si="16">U4+U7+U10+U13+U16</f>
        <v>8157465.6406367356</v>
      </c>
      <c r="V19" s="70">
        <f t="shared" si="16"/>
        <v>938546878.54628062</v>
      </c>
      <c r="W19" s="75">
        <f t="shared" si="5"/>
        <v>4.7305808982212678</v>
      </c>
      <c r="Y19">
        <v>11</v>
      </c>
      <c r="Z19" s="21">
        <f>Y19*Z$22/100</f>
        <v>418052.98842248769</v>
      </c>
      <c r="AA19" s="70">
        <f t="shared" ref="AA19:AB21" si="17">AA4+AA7+AA10+AA13+AA16</f>
        <v>7820868.5340775792</v>
      </c>
      <c r="AB19" s="70">
        <f t="shared" si="17"/>
        <v>899820124.72275519</v>
      </c>
      <c r="AC19" s="75">
        <f t="shared" si="7"/>
        <v>4.580883557327323</v>
      </c>
      <c r="AE19">
        <v>10.8</v>
      </c>
      <c r="AF19" s="21">
        <f>AE19*AF$22/100</f>
        <v>398704.61521217471</v>
      </c>
      <c r="AG19" s="70">
        <f t="shared" ref="AG19:AH21" si="18">AG4+AG7+AG10+AG13+AG16</f>
        <v>7458902.2584694736</v>
      </c>
      <c r="AH19" s="70">
        <f t="shared" si="18"/>
        <v>858174553.2822001</v>
      </c>
      <c r="AI19" s="75">
        <f t="shared" si="9"/>
        <v>4.4737791323156246</v>
      </c>
    </row>
    <row r="20" spans="1:35" x14ac:dyDescent="0.25">
      <c r="B20" t="s">
        <v>19</v>
      </c>
      <c r="C20" s="20">
        <v>0.69545502539976767</v>
      </c>
      <c r="D20">
        <f>64.1/100</f>
        <v>0.6409999999999999</v>
      </c>
      <c r="E20" s="21">
        <f>D20*E$22</f>
        <v>2364503.4929999998</v>
      </c>
      <c r="F20" s="24">
        <f>(F5+F8+F11+F14+F17)/5</f>
        <v>100.43948307209855</v>
      </c>
      <c r="G20" s="24"/>
      <c r="H20" s="70">
        <f t="shared" ref="H20:J21" si="19">H5+H8+H11+H14+H17</f>
        <v>260045838.40254128</v>
      </c>
      <c r="I20" s="24"/>
      <c r="J20" s="70">
        <f t="shared" si="19"/>
        <v>12541244251.130484</v>
      </c>
      <c r="K20" s="75">
        <f t="shared" si="1"/>
        <v>67.660970308551327</v>
      </c>
      <c r="M20" s="80">
        <v>60</v>
      </c>
      <c r="N20" s="21">
        <f>M20*N$22/100</f>
        <v>2299315.0418431498</v>
      </c>
      <c r="O20" s="70">
        <f t="shared" si="15"/>
        <v>252876474.73467964</v>
      </c>
      <c r="P20" s="70">
        <f t="shared" si="15"/>
        <v>12195486974.505074</v>
      </c>
      <c r="Q20" s="75">
        <f t="shared" si="3"/>
        <v>62.444144082769448</v>
      </c>
      <c r="S20">
        <v>59.2</v>
      </c>
      <c r="T20" s="21">
        <f>S20*T$22/100</f>
        <v>2284414.2633436359</v>
      </c>
      <c r="U20" s="70">
        <f t="shared" si="16"/>
        <v>251237701.33077979</v>
      </c>
      <c r="V20" s="70">
        <f t="shared" si="16"/>
        <v>12116453763.834156</v>
      </c>
      <c r="W20" s="75">
        <f t="shared" si="5"/>
        <v>61.070859687003534</v>
      </c>
      <c r="Y20">
        <v>55.8</v>
      </c>
      <c r="Z20" s="21">
        <f>Y20*Z$22/100</f>
        <v>2120668.7958158921</v>
      </c>
      <c r="AA20" s="70">
        <f t="shared" si="17"/>
        <v>233229131.02672729</v>
      </c>
      <c r="AB20" s="70">
        <f t="shared" si="17"/>
        <v>11247953501.78739</v>
      </c>
      <c r="AC20" s="75">
        <f t="shared" si="7"/>
        <v>57.26207253454767</v>
      </c>
      <c r="AE20">
        <v>53.6</v>
      </c>
      <c r="AF20" s="21">
        <f>AE20*AF$22/100</f>
        <v>1978756.2384604227</v>
      </c>
      <c r="AG20" s="70">
        <f t="shared" si="18"/>
        <v>217621723.35462883</v>
      </c>
      <c r="AH20" s="70">
        <f t="shared" si="18"/>
        <v>10495254235.592012</v>
      </c>
      <c r="AI20" s="75">
        <f t="shared" si="9"/>
        <v>54.713169025997267</v>
      </c>
    </row>
    <row r="21" spans="1:35" ht="15.75" thickBot="1" x14ac:dyDescent="0.3">
      <c r="B21" t="s">
        <v>20</v>
      </c>
      <c r="C21" s="20">
        <v>0.25229653788847567</v>
      </c>
      <c r="D21">
        <f>22.5/100</f>
        <v>0.22500000000000001</v>
      </c>
      <c r="E21" s="21">
        <f>D21*E$22</f>
        <v>829973.92500000005</v>
      </c>
      <c r="F21" s="24">
        <f>(F6+F9+F12+F15+F18)/5</f>
        <v>101.7848766663394</v>
      </c>
      <c r="G21" s="24"/>
      <c r="H21" s="70">
        <f t="shared" si="19"/>
        <v>73255059.552111879</v>
      </c>
      <c r="J21" s="70">
        <f t="shared" si="19"/>
        <v>4930249401.4246435</v>
      </c>
      <c r="K21" s="75">
        <f t="shared" si="1"/>
        <v>26.599071964767447</v>
      </c>
      <c r="M21" s="80">
        <v>27.8</v>
      </c>
      <c r="N21" s="21">
        <f>M21*N$22/100</f>
        <v>1065349.3027206594</v>
      </c>
      <c r="O21" s="70">
        <f t="shared" si="15"/>
        <v>94029733.060111225</v>
      </c>
      <c r="P21" s="70">
        <f t="shared" si="15"/>
        <v>6328437079.5705318</v>
      </c>
      <c r="Q21" s="75">
        <f t="shared" si="3"/>
        <v>32.403284726683104</v>
      </c>
      <c r="S21">
        <v>29.6</v>
      </c>
      <c r="T21" s="21">
        <f>S21*T$22/100</f>
        <v>1142207.131671818</v>
      </c>
      <c r="U21" s="70">
        <f t="shared" si="16"/>
        <v>100813349.58982709</v>
      </c>
      <c r="V21" s="70">
        <f t="shared" si="16"/>
        <v>6784991501.061842</v>
      </c>
      <c r="W21" s="75">
        <f t="shared" si="5"/>
        <v>34.198559414775218</v>
      </c>
      <c r="Y21">
        <v>33.200000000000003</v>
      </c>
      <c r="Z21" s="21">
        <f>Y21*Z$22/100</f>
        <v>1261759.9286933267</v>
      </c>
      <c r="AA21" s="70">
        <f t="shared" si="17"/>
        <v>111365304.29784055</v>
      </c>
      <c r="AB21" s="70">
        <f t="shared" si="17"/>
        <v>7495164541.6834927</v>
      </c>
      <c r="AC21" s="75">
        <f t="shared" si="7"/>
        <v>38.157043908125011</v>
      </c>
      <c r="AE21">
        <v>35.700000000000003</v>
      </c>
      <c r="AF21" s="21">
        <f>AE21*AF$22/100</f>
        <v>1317940.2558402445</v>
      </c>
      <c r="AG21" s="70">
        <f t="shared" si="18"/>
        <v>116323885.63014515</v>
      </c>
      <c r="AH21" s="70">
        <f t="shared" si="18"/>
        <v>7828889512.968502</v>
      </c>
      <c r="AI21" s="75">
        <f t="shared" si="9"/>
        <v>40.813051841687113</v>
      </c>
    </row>
    <row r="22" spans="1:35" ht="15.75" thickBot="1" x14ac:dyDescent="0.3">
      <c r="B22" t="s">
        <v>24</v>
      </c>
      <c r="E22" s="25">
        <v>3688773</v>
      </c>
      <c r="F22" s="10">
        <f>AVERAGE(F19:F21)</f>
        <v>90.155458352398043</v>
      </c>
      <c r="H22" s="10">
        <f>SUM(H19:H21)</f>
        <v>342548100.75156397</v>
      </c>
      <c r="J22" s="10">
        <f>SUM(J19:J21)</f>
        <v>18535418859.556999</v>
      </c>
      <c r="K22" s="75">
        <f t="shared" si="1"/>
        <v>100</v>
      </c>
      <c r="N22" s="25">
        <v>3832191.7364052502</v>
      </c>
      <c r="O22" s="10">
        <f>SUM(O19:O21)</f>
        <v>355652635.5657528</v>
      </c>
      <c r="P22" s="10">
        <f>SUM(P19:P21)</f>
        <v>19530233224.655952</v>
      </c>
      <c r="Q22" s="75">
        <f t="shared" si="3"/>
        <v>100</v>
      </c>
      <c r="T22" s="25">
        <v>3858807.877269655</v>
      </c>
      <c r="U22" s="10">
        <f>SUM(U19:U21)</f>
        <v>360208516.56124365</v>
      </c>
      <c r="V22" s="10">
        <f>SUM(V19:V21)</f>
        <v>19839992143.442276</v>
      </c>
      <c r="W22" s="75">
        <f t="shared" si="5"/>
        <v>100</v>
      </c>
      <c r="Z22" s="25">
        <v>3800481.7129317061</v>
      </c>
      <c r="AA22" s="10">
        <f>SUM(AA19:AA21)</f>
        <v>352415303.85864544</v>
      </c>
      <c r="AB22" s="10">
        <f>SUM(AB19:AB21)</f>
        <v>19642938168.193638</v>
      </c>
      <c r="AC22" s="75">
        <f t="shared" si="7"/>
        <v>100</v>
      </c>
      <c r="AF22" s="25">
        <v>3691709.4001127291</v>
      </c>
      <c r="AG22" s="10">
        <f>SUM(AG19:AG21)</f>
        <v>341404511.24324346</v>
      </c>
      <c r="AH22" s="10">
        <f>SUM(AH19:AH21)</f>
        <v>19182318301.842712</v>
      </c>
      <c r="AI22" s="75">
        <f t="shared" si="9"/>
        <v>100</v>
      </c>
    </row>
  </sheetData>
  <mergeCells count="5">
    <mergeCell ref="E2:K2"/>
    <mergeCell ref="M2:Q2"/>
    <mergeCell ref="S2:W2"/>
    <mergeCell ref="Y2:AC2"/>
    <mergeCell ref="AE2:AI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topLeftCell="I51" zoomScale="77" zoomScaleNormal="77" workbookViewId="0">
      <selection activeCell="N58" sqref="N58"/>
    </sheetView>
  </sheetViews>
  <sheetFormatPr defaultRowHeight="15" x14ac:dyDescent="0.25"/>
  <cols>
    <col min="1" max="1" width="6.42578125" customWidth="1"/>
    <col min="2" max="2" width="28" customWidth="1"/>
    <col min="3" max="3" width="12" customWidth="1"/>
    <col min="4" max="4" width="13.7109375" customWidth="1"/>
    <col min="6" max="6" width="13.85546875" customWidth="1"/>
    <col min="8" max="8" width="14.5703125" customWidth="1"/>
    <col min="10" max="10" width="14.7109375" customWidth="1"/>
    <col min="12" max="12" width="13.7109375" customWidth="1"/>
  </cols>
  <sheetData>
    <row r="1" spans="1:14" x14ac:dyDescent="0.25">
      <c r="D1" s="111">
        <v>2010</v>
      </c>
      <c r="E1" s="111"/>
      <c r="F1" s="111">
        <v>2020</v>
      </c>
      <c r="G1" s="111"/>
      <c r="H1" s="111">
        <v>2030</v>
      </c>
      <c r="I1" s="111"/>
      <c r="J1" s="111">
        <v>2040</v>
      </c>
      <c r="K1" s="111"/>
      <c r="L1" s="111">
        <v>2050</v>
      </c>
      <c r="M1" s="111"/>
    </row>
    <row r="2" spans="1:14" s="87" customFormat="1" ht="42" customHeight="1" x14ac:dyDescent="0.25">
      <c r="A2" s="87" t="s">
        <v>113</v>
      </c>
      <c r="B2" s="87" t="s">
        <v>110</v>
      </c>
      <c r="C2" s="88" t="s">
        <v>112</v>
      </c>
      <c r="D2" s="89" t="s">
        <v>87</v>
      </c>
      <c r="E2" s="92" t="s">
        <v>111</v>
      </c>
      <c r="F2" s="89" t="s">
        <v>87</v>
      </c>
      <c r="G2" s="92" t="s">
        <v>89</v>
      </c>
      <c r="H2" s="89" t="s">
        <v>87</v>
      </c>
      <c r="I2" s="92" t="s">
        <v>89</v>
      </c>
      <c r="J2" s="89" t="s">
        <v>87</v>
      </c>
      <c r="K2" s="92" t="s">
        <v>89</v>
      </c>
      <c r="L2" s="89" t="s">
        <v>87</v>
      </c>
      <c r="M2" s="92" t="s">
        <v>89</v>
      </c>
      <c r="N2" s="90"/>
    </row>
    <row r="3" spans="1:14" x14ac:dyDescent="0.25">
      <c r="A3" s="109">
        <v>1</v>
      </c>
      <c r="B3" s="110" t="s">
        <v>114</v>
      </c>
      <c r="C3" t="s">
        <v>18</v>
      </c>
      <c r="D3" s="94">
        <v>1063925207.0018733</v>
      </c>
      <c r="E3" s="94">
        <v>5.7399577266812374</v>
      </c>
      <c r="F3" s="94">
        <v>1006309170.5803481</v>
      </c>
      <c r="G3" s="94">
        <v>5.1525711905474463</v>
      </c>
      <c r="H3" s="94">
        <v>938546878.54628062</v>
      </c>
      <c r="I3" s="94">
        <v>4.7305808982212678</v>
      </c>
      <c r="J3" s="94">
        <v>899820124.72275519</v>
      </c>
      <c r="K3" s="94">
        <v>4.580883557327323</v>
      </c>
      <c r="L3" s="94">
        <v>858174553.2822001</v>
      </c>
      <c r="M3" s="98">
        <v>4.4737791323156246</v>
      </c>
      <c r="N3" s="91"/>
    </row>
    <row r="4" spans="1:14" x14ac:dyDescent="0.25">
      <c r="A4" s="109"/>
      <c r="B4" s="110"/>
      <c r="C4" t="s">
        <v>19</v>
      </c>
      <c r="D4" s="94">
        <v>12541244251.130484</v>
      </c>
      <c r="E4" s="94">
        <v>67.660970308551327</v>
      </c>
      <c r="F4" s="94">
        <v>12195486974.505074</v>
      </c>
      <c r="G4" s="94">
        <v>62.444144082769448</v>
      </c>
      <c r="H4" s="94">
        <v>12116453763.834156</v>
      </c>
      <c r="I4" s="94">
        <v>61.070859687003534</v>
      </c>
      <c r="J4" s="94">
        <v>11247953501.78739</v>
      </c>
      <c r="K4" s="94">
        <v>57.26207253454767</v>
      </c>
      <c r="L4" s="94">
        <v>10495254235.592012</v>
      </c>
      <c r="M4" s="98">
        <v>54.713169025997267</v>
      </c>
      <c r="N4" s="91"/>
    </row>
    <row r="5" spans="1:14" x14ac:dyDescent="0.25">
      <c r="A5" s="109"/>
      <c r="B5" s="110"/>
      <c r="C5" t="s">
        <v>20</v>
      </c>
      <c r="D5" s="94">
        <v>4930249401.4246435</v>
      </c>
      <c r="E5" s="94">
        <v>26.599071964767447</v>
      </c>
      <c r="F5" s="94">
        <v>6328437079.5705318</v>
      </c>
      <c r="G5" s="94">
        <v>32.403284726683104</v>
      </c>
      <c r="H5" s="94">
        <v>6784991501.061842</v>
      </c>
      <c r="I5" s="94">
        <v>34.198559414775218</v>
      </c>
      <c r="J5" s="94">
        <v>7495164541.6834927</v>
      </c>
      <c r="K5" s="94">
        <v>38.157043908125011</v>
      </c>
      <c r="L5" s="94">
        <v>7828889512.968502</v>
      </c>
      <c r="M5" s="98">
        <v>40.813051841687113</v>
      </c>
      <c r="N5" s="91"/>
    </row>
    <row r="6" spans="1:14" x14ac:dyDescent="0.25">
      <c r="A6" s="109"/>
      <c r="B6" s="110"/>
      <c r="C6" t="s">
        <v>24</v>
      </c>
      <c r="D6" s="96">
        <v>18535418859.556999</v>
      </c>
      <c r="E6" s="94">
        <v>100</v>
      </c>
      <c r="F6" s="96">
        <v>19530233224.655952</v>
      </c>
      <c r="G6" s="94">
        <v>100</v>
      </c>
      <c r="H6" s="96">
        <v>19839992143.442276</v>
      </c>
      <c r="I6" s="94">
        <v>100</v>
      </c>
      <c r="J6" s="96">
        <v>19642938168.193638</v>
      </c>
      <c r="K6" s="94">
        <v>100</v>
      </c>
      <c r="L6" s="96">
        <v>19182318301.842712</v>
      </c>
      <c r="M6" s="94">
        <v>100</v>
      </c>
      <c r="N6" s="91"/>
    </row>
    <row r="7" spans="1:14" ht="15" customHeight="1" x14ac:dyDescent="0.25">
      <c r="A7" s="109">
        <v>2</v>
      </c>
      <c r="B7" s="110" t="s">
        <v>115</v>
      </c>
      <c r="C7" t="s">
        <v>18</v>
      </c>
      <c r="D7" s="93">
        <v>1063925207.0018733</v>
      </c>
      <c r="E7" s="95">
        <v>5.7399577266812374</v>
      </c>
      <c r="F7" s="93">
        <v>854348368.50719428</v>
      </c>
      <c r="G7" s="95">
        <v>4.7687671954479418</v>
      </c>
      <c r="H7" s="93">
        <v>655090579.79289436</v>
      </c>
      <c r="I7" s="95">
        <v>3.9588280390590236</v>
      </c>
      <c r="J7" s="93">
        <v>492179833.23387569</v>
      </c>
      <c r="K7" s="95">
        <v>3.3535951207715109</v>
      </c>
      <c r="L7" s="93">
        <v>339809433.50365102</v>
      </c>
      <c r="M7" s="99">
        <v>2.6866100923157785</v>
      </c>
      <c r="N7" s="91"/>
    </row>
    <row r="8" spans="1:14" x14ac:dyDescent="0.25">
      <c r="A8" s="109"/>
      <c r="B8" s="110"/>
      <c r="C8" t="s">
        <v>19</v>
      </c>
      <c r="D8" s="93">
        <v>12541244251.130484</v>
      </c>
      <c r="E8" s="95">
        <v>67.660970308551327</v>
      </c>
      <c r="F8" s="93">
        <v>11383637273.128881</v>
      </c>
      <c r="G8" s="95">
        <v>63.540726469495624</v>
      </c>
      <c r="H8" s="93">
        <v>10503276792.636347</v>
      </c>
      <c r="I8" s="95">
        <v>63.473156157782562</v>
      </c>
      <c r="J8" s="93">
        <v>9001635406.2633724</v>
      </c>
      <c r="K8" s="95">
        <v>61.334980710321304</v>
      </c>
      <c r="L8" s="93">
        <v>7700591247.6047239</v>
      </c>
      <c r="M8" s="99">
        <v>60.88261279065145</v>
      </c>
      <c r="N8" s="91"/>
    </row>
    <row r="9" spans="1:14" x14ac:dyDescent="0.25">
      <c r="A9" s="109"/>
      <c r="B9" s="110"/>
      <c r="C9" t="s">
        <v>20</v>
      </c>
      <c r="D9" s="93">
        <v>4930249401.4246435</v>
      </c>
      <c r="E9" s="95">
        <v>26.599071964767447</v>
      </c>
      <c r="F9" s="93">
        <v>5677511875.682827</v>
      </c>
      <c r="G9" s="95">
        <v>31.690506335056444</v>
      </c>
      <c r="H9" s="93">
        <v>5389221290.9218245</v>
      </c>
      <c r="I9" s="95">
        <v>32.56801580315841</v>
      </c>
      <c r="J9" s="93">
        <v>5182370033.5969982</v>
      </c>
      <c r="K9" s="95">
        <v>35.311424168907187</v>
      </c>
      <c r="L9" s="93">
        <v>4607859461.8714848</v>
      </c>
      <c r="M9" s="99">
        <v>36.43077711703279</v>
      </c>
      <c r="N9" s="91"/>
    </row>
    <row r="10" spans="1:14" x14ac:dyDescent="0.25">
      <c r="A10" s="109"/>
      <c r="B10" s="110"/>
      <c r="C10" t="s">
        <v>24</v>
      </c>
      <c r="D10" s="97">
        <v>18535418859.556999</v>
      </c>
      <c r="E10" s="95">
        <v>100</v>
      </c>
      <c r="F10" s="97">
        <v>17915497517.318901</v>
      </c>
      <c r="G10" s="95">
        <v>100</v>
      </c>
      <c r="H10" s="97">
        <v>16547588663.351067</v>
      </c>
      <c r="I10" s="95">
        <v>100</v>
      </c>
      <c r="J10" s="97">
        <v>14676185273.094246</v>
      </c>
      <c r="K10" s="95">
        <v>100</v>
      </c>
      <c r="L10" s="97">
        <v>12648260142.979858</v>
      </c>
      <c r="M10" s="95">
        <v>100</v>
      </c>
      <c r="N10" s="91"/>
    </row>
    <row r="11" spans="1:14" x14ac:dyDescent="0.25">
      <c r="A11" s="109">
        <v>3</v>
      </c>
      <c r="B11" s="110" t="s">
        <v>116</v>
      </c>
      <c r="C11" t="s">
        <v>18</v>
      </c>
      <c r="D11" s="93">
        <v>1063925207.0018733</v>
      </c>
      <c r="E11" s="95">
        <v>5.7399577266812374</v>
      </c>
      <c r="F11" s="93">
        <v>856012857.70447946</v>
      </c>
      <c r="G11" s="95">
        <v>4.765785791042469</v>
      </c>
      <c r="H11" s="93">
        <v>649628337.81560576</v>
      </c>
      <c r="I11" s="95">
        <v>4.1164285310113211</v>
      </c>
      <c r="J11" s="93">
        <v>480217769.75152194</v>
      </c>
      <c r="K11" s="95">
        <v>3.6544910367674475</v>
      </c>
      <c r="L11" s="93">
        <v>321987049.22795194</v>
      </c>
      <c r="M11" s="99">
        <v>3.0952867150886902</v>
      </c>
      <c r="N11" s="91"/>
    </row>
    <row r="12" spans="1:14" x14ac:dyDescent="0.25">
      <c r="A12" s="109"/>
      <c r="B12" s="110"/>
      <c r="C12" t="s">
        <v>19</v>
      </c>
      <c r="D12" s="93">
        <v>12541244251.130484</v>
      </c>
      <c r="E12" s="95">
        <v>67.660970308551327</v>
      </c>
      <c r="F12" s="93">
        <v>11405016970.526085</v>
      </c>
      <c r="G12" s="95">
        <v>63.496555379423967</v>
      </c>
      <c r="H12" s="93">
        <v>9924542070.1452408</v>
      </c>
      <c r="I12" s="95">
        <v>62.887755592897442</v>
      </c>
      <c r="J12" s="93">
        <v>7907414095.8188496</v>
      </c>
      <c r="K12" s="95">
        <v>60.17597797793065</v>
      </c>
      <c r="L12" s="93">
        <v>6159895681.5655117</v>
      </c>
      <c r="M12" s="99">
        <v>59.215559492840406</v>
      </c>
      <c r="N12" s="91"/>
    </row>
    <row r="13" spans="1:14" x14ac:dyDescent="0.25">
      <c r="A13" s="109"/>
      <c r="B13" s="110"/>
      <c r="C13" t="s">
        <v>20</v>
      </c>
      <c r="D13" s="93">
        <v>4930249401.4246435</v>
      </c>
      <c r="E13" s="95">
        <v>26.599071964767447</v>
      </c>
      <c r="F13" s="93">
        <v>5700601164.7821331</v>
      </c>
      <c r="G13" s="95">
        <v>31.737658829533576</v>
      </c>
      <c r="H13" s="93">
        <v>5207187944.8344946</v>
      </c>
      <c r="I13" s="95">
        <v>32.995815876091228</v>
      </c>
      <c r="J13" s="93">
        <v>4752851033.9661655</v>
      </c>
      <c r="K13" s="95">
        <v>36.169530985301904</v>
      </c>
      <c r="L13" s="93">
        <v>3920612380.8338923</v>
      </c>
      <c r="M13" s="99">
        <v>37.689153792070904</v>
      </c>
      <c r="N13" s="91"/>
    </row>
    <row r="14" spans="1:14" ht="32.25" customHeight="1" x14ac:dyDescent="0.25">
      <c r="A14" s="109"/>
      <c r="B14" s="110"/>
      <c r="C14" t="s">
        <v>24</v>
      </c>
      <c r="D14" s="97">
        <v>18535418859.556999</v>
      </c>
      <c r="E14" s="95">
        <v>100</v>
      </c>
      <c r="F14" s="97">
        <v>17961630993.012695</v>
      </c>
      <c r="G14" s="95">
        <v>100</v>
      </c>
      <c r="H14" s="97">
        <v>15781358352.795341</v>
      </c>
      <c r="I14" s="95">
        <v>100</v>
      </c>
      <c r="J14" s="97">
        <v>13140482899.536537</v>
      </c>
      <c r="K14" s="95">
        <v>100</v>
      </c>
      <c r="L14" s="97">
        <v>10402495111.627356</v>
      </c>
      <c r="M14" s="95">
        <v>100</v>
      </c>
      <c r="N14" s="91"/>
    </row>
    <row r="15" spans="1:14" x14ac:dyDescent="0.25">
      <c r="A15" s="109">
        <v>4</v>
      </c>
      <c r="B15" s="110" t="s">
        <v>117</v>
      </c>
      <c r="C15" t="s">
        <v>18</v>
      </c>
      <c r="D15" s="93">
        <v>1063925207.0018733</v>
      </c>
      <c r="E15" s="95">
        <v>5.7399577266812374</v>
      </c>
      <c r="F15" s="93">
        <v>791934655.87150228</v>
      </c>
      <c r="G15" s="95">
        <v>4.7494348692869979</v>
      </c>
      <c r="H15" s="93">
        <v>579777403.77311456</v>
      </c>
      <c r="I15" s="95">
        <v>4.1530980218155555</v>
      </c>
      <c r="J15" s="93">
        <v>451203702.21909654</v>
      </c>
      <c r="K15" s="95">
        <v>3.8854111400765499</v>
      </c>
      <c r="L15" s="93">
        <v>375935607.2518549</v>
      </c>
      <c r="M15" s="99">
        <v>3.7851150010725649</v>
      </c>
      <c r="N15" s="91"/>
    </row>
    <row r="16" spans="1:14" x14ac:dyDescent="0.25">
      <c r="A16" s="109"/>
      <c r="B16" s="110"/>
      <c r="C16" t="s">
        <v>19</v>
      </c>
      <c r="D16" s="93">
        <v>12541244251.130484</v>
      </c>
      <c r="E16" s="95">
        <v>67.660970308551327</v>
      </c>
      <c r="F16" s="93">
        <v>10572979131.922379</v>
      </c>
      <c r="G16" s="95">
        <v>63.408862573560384</v>
      </c>
      <c r="H16" s="93">
        <v>8765499735.9978371</v>
      </c>
      <c r="I16" s="95">
        <v>62.789579892015638</v>
      </c>
      <c r="J16" s="93">
        <v>6981702436.6838379</v>
      </c>
      <c r="K16" s="95">
        <v>60.120926071255262</v>
      </c>
      <c r="L16" s="93">
        <v>5864446056.9140348</v>
      </c>
      <c r="M16" s="99">
        <v>59.046289616655201</v>
      </c>
      <c r="N16" s="91"/>
    </row>
    <row r="17" spans="1:24" x14ac:dyDescent="0.25">
      <c r="A17" s="109"/>
      <c r="B17" s="110"/>
      <c r="C17" t="s">
        <v>20</v>
      </c>
      <c r="D17" s="93">
        <v>4930249401.4246445</v>
      </c>
      <c r="E17" s="95">
        <v>26.59907196476745</v>
      </c>
      <c r="F17" s="93">
        <v>5309378578.9185886</v>
      </c>
      <c r="G17" s="95">
        <v>31.841702557152622</v>
      </c>
      <c r="H17" s="93">
        <v>4614841324.268116</v>
      </c>
      <c r="I17" s="95">
        <v>33.057322086168803</v>
      </c>
      <c r="J17" s="93">
        <v>4179859819.5075049</v>
      </c>
      <c r="K17" s="95">
        <v>35.993662788668189</v>
      </c>
      <c r="L17" s="93">
        <v>3691565110.1151633</v>
      </c>
      <c r="M17" s="99">
        <v>37.16859538227223</v>
      </c>
      <c r="N17" s="91"/>
    </row>
    <row r="18" spans="1:24" x14ac:dyDescent="0.25">
      <c r="A18" s="109"/>
      <c r="B18" s="110"/>
      <c r="C18" t="s">
        <v>24</v>
      </c>
      <c r="D18" s="97">
        <v>18535418859.556999</v>
      </c>
      <c r="E18" s="95">
        <v>100</v>
      </c>
      <c r="F18" s="97">
        <v>16674292366.712469</v>
      </c>
      <c r="G18" s="95">
        <v>100</v>
      </c>
      <c r="H18" s="97">
        <v>13960118464.039068</v>
      </c>
      <c r="I18" s="95">
        <v>100</v>
      </c>
      <c r="J18" s="97">
        <v>11612765958.410439</v>
      </c>
      <c r="K18" s="95">
        <v>100</v>
      </c>
      <c r="L18" s="97">
        <v>9931946774.2810535</v>
      </c>
      <c r="M18" s="95">
        <v>100</v>
      </c>
      <c r="N18" s="91"/>
    </row>
    <row r="20" spans="1:24" x14ac:dyDescent="0.25">
      <c r="C20" s="86" t="s">
        <v>110</v>
      </c>
      <c r="D20" s="108">
        <v>2010</v>
      </c>
      <c r="E20" s="108"/>
      <c r="F20" s="108">
        <v>2020</v>
      </c>
      <c r="G20" s="108"/>
      <c r="H20" s="108">
        <v>2030</v>
      </c>
      <c r="I20" s="108"/>
      <c r="J20" s="108">
        <v>2040</v>
      </c>
      <c r="K20" s="108"/>
      <c r="L20" s="108">
        <v>2050</v>
      </c>
      <c r="M20" s="108"/>
    </row>
    <row r="21" spans="1:24" x14ac:dyDescent="0.25">
      <c r="C21" s="100" t="s">
        <v>118</v>
      </c>
      <c r="D21" s="108">
        <f>D6/1000000000</f>
        <v>18.535418859556998</v>
      </c>
      <c r="E21" s="108"/>
      <c r="F21" s="108">
        <f>F6/1000000000</f>
        <v>19.530233224655952</v>
      </c>
      <c r="G21" s="108"/>
      <c r="H21" s="108">
        <f>H6/1000000000</f>
        <v>19.839992143442277</v>
      </c>
      <c r="I21" s="108"/>
      <c r="J21" s="108">
        <f>J6/1000000000</f>
        <v>19.642938168193638</v>
      </c>
      <c r="K21" s="108"/>
      <c r="L21" s="108">
        <f>L6/1000000000</f>
        <v>19.182318301842713</v>
      </c>
      <c r="M21" s="108"/>
    </row>
    <row r="22" spans="1:24" x14ac:dyDescent="0.25">
      <c r="C22" s="100" t="s">
        <v>119</v>
      </c>
      <c r="D22" s="108">
        <f>D10/1000000000</f>
        <v>18.535418859556998</v>
      </c>
      <c r="E22" s="108"/>
      <c r="F22" s="108">
        <f>F10/1000000000</f>
        <v>17.915497517318901</v>
      </c>
      <c r="G22" s="108"/>
      <c r="H22" s="108">
        <f>H10/1000000000</f>
        <v>16.547588663351068</v>
      </c>
      <c r="I22" s="108"/>
      <c r="J22" s="108">
        <f>J10/1000000000</f>
        <v>14.676185273094246</v>
      </c>
      <c r="K22" s="108"/>
      <c r="L22" s="108">
        <f>L10/1000000000</f>
        <v>12.648260142979858</v>
      </c>
      <c r="M22" s="108"/>
    </row>
    <row r="23" spans="1:24" x14ac:dyDescent="0.25">
      <c r="C23" s="100" t="s">
        <v>120</v>
      </c>
      <c r="D23" s="108">
        <f>D14/1000000000</f>
        <v>18.535418859556998</v>
      </c>
      <c r="E23" s="108"/>
      <c r="F23" s="108">
        <f>F14/1000000000</f>
        <v>17.961630993012694</v>
      </c>
      <c r="G23" s="108"/>
      <c r="H23" s="108">
        <f>H14/1000000000</f>
        <v>15.781358352795342</v>
      </c>
      <c r="I23" s="108"/>
      <c r="J23" s="108">
        <f>J14/1000000000</f>
        <v>13.140482899536536</v>
      </c>
      <c r="K23" s="108"/>
      <c r="L23" s="108">
        <f>L14/1000000000</f>
        <v>10.402495111627356</v>
      </c>
      <c r="M23" s="108"/>
    </row>
    <row r="24" spans="1:24" x14ac:dyDescent="0.25">
      <c r="C24" s="100" t="s">
        <v>121</v>
      </c>
      <c r="D24" s="108">
        <f>D18/1000000000</f>
        <v>18.535418859556998</v>
      </c>
      <c r="E24" s="108"/>
      <c r="F24" s="108">
        <f>F18/1000000000</f>
        <v>16.674292366712468</v>
      </c>
      <c r="G24" s="108"/>
      <c r="H24" s="108">
        <f>H18/1000000000</f>
        <v>13.960118464039068</v>
      </c>
      <c r="I24" s="108"/>
      <c r="J24" s="108">
        <f>J18/1000000000</f>
        <v>11.612765958410439</v>
      </c>
      <c r="K24" s="108"/>
      <c r="L24" s="108">
        <f>L18/1000000000</f>
        <v>9.9319467742810534</v>
      </c>
      <c r="M24" s="108"/>
    </row>
    <row r="25" spans="1:24" x14ac:dyDescent="0.25">
      <c r="F25" s="78"/>
      <c r="G25" s="78"/>
      <c r="H25" s="78"/>
      <c r="I25" s="78"/>
      <c r="J25" s="78"/>
      <c r="K25" s="78"/>
      <c r="L25" s="78"/>
    </row>
    <row r="26" spans="1:24" x14ac:dyDescent="0.25">
      <c r="C26" s="86" t="s">
        <v>110</v>
      </c>
      <c r="E26">
        <v>2010</v>
      </c>
      <c r="F26">
        <v>2020</v>
      </c>
      <c r="G26">
        <v>2030</v>
      </c>
      <c r="H26">
        <v>2040</v>
      </c>
      <c r="I26">
        <v>2050</v>
      </c>
      <c r="M26" t="s">
        <v>18</v>
      </c>
      <c r="N26" t="s">
        <v>19</v>
      </c>
      <c r="O26" t="s">
        <v>20</v>
      </c>
    </row>
    <row r="27" spans="1:24" x14ac:dyDescent="0.25">
      <c r="C27" s="100" t="s">
        <v>118</v>
      </c>
      <c r="D27" t="s">
        <v>18</v>
      </c>
      <c r="E27" s="94">
        <v>5.7399577266812374</v>
      </c>
      <c r="F27" s="94">
        <v>5.1525711905474463</v>
      </c>
      <c r="G27" s="94">
        <v>4.7305808982212678</v>
      </c>
      <c r="H27" s="94">
        <v>4.580883557327323</v>
      </c>
      <c r="I27" s="98">
        <v>4.4737791323156246</v>
      </c>
      <c r="J27" s="85" t="s">
        <v>122</v>
      </c>
      <c r="L27" s="100">
        <v>2010</v>
      </c>
      <c r="M27" s="94">
        <v>5.7399577266812374</v>
      </c>
      <c r="N27" s="94">
        <v>67.660970308551327</v>
      </c>
      <c r="O27" s="94">
        <v>26.599071964767447</v>
      </c>
    </row>
    <row r="28" spans="1:24" x14ac:dyDescent="0.25">
      <c r="D28" t="s">
        <v>19</v>
      </c>
      <c r="E28" s="94">
        <v>67.660970308551327</v>
      </c>
      <c r="F28" s="94">
        <v>62.444144082769448</v>
      </c>
      <c r="G28" s="94">
        <v>61.070859687003534</v>
      </c>
      <c r="H28" s="94">
        <v>57.26207253454767</v>
      </c>
      <c r="I28" s="98">
        <v>54.713169025997267</v>
      </c>
      <c r="J28" s="85" t="s">
        <v>123</v>
      </c>
      <c r="L28" s="100">
        <v>2020</v>
      </c>
      <c r="M28" s="94">
        <v>5.1525711905474463</v>
      </c>
      <c r="N28" s="94">
        <v>62.444144082769448</v>
      </c>
      <c r="O28" s="94">
        <v>32.403284726683104</v>
      </c>
    </row>
    <row r="29" spans="1:24" x14ac:dyDescent="0.25">
      <c r="D29" t="s">
        <v>20</v>
      </c>
      <c r="E29" s="94">
        <v>26.599071964767447</v>
      </c>
      <c r="F29" s="94">
        <v>32.403284726683104</v>
      </c>
      <c r="G29" s="94">
        <v>34.198559414775218</v>
      </c>
      <c r="H29" s="94">
        <v>38.157043908125011</v>
      </c>
      <c r="I29" s="98">
        <v>40.813051841687113</v>
      </c>
      <c r="J29" s="85" t="s">
        <v>124</v>
      </c>
      <c r="L29" s="100">
        <v>2030</v>
      </c>
      <c r="M29" s="94">
        <v>4.7305808982212678</v>
      </c>
      <c r="N29" s="94">
        <v>61.070859687003534</v>
      </c>
      <c r="O29" s="94">
        <v>34.198559414775218</v>
      </c>
    </row>
    <row r="30" spans="1:24" x14ac:dyDescent="0.25">
      <c r="C30" s="100" t="s">
        <v>119</v>
      </c>
      <c r="D30" t="s">
        <v>18</v>
      </c>
      <c r="E30" s="95">
        <v>5.7399577266812374</v>
      </c>
      <c r="F30" s="95">
        <v>4.7687671954479418</v>
      </c>
      <c r="G30" s="95">
        <v>3.9588280390590236</v>
      </c>
      <c r="H30" s="95">
        <v>3.3535951207715109</v>
      </c>
      <c r="I30" s="99">
        <v>2.6866100923157785</v>
      </c>
      <c r="J30" s="85" t="s">
        <v>125</v>
      </c>
      <c r="L30" s="100">
        <v>2040</v>
      </c>
      <c r="M30" s="94">
        <v>4.580883557327323</v>
      </c>
      <c r="N30" s="94">
        <v>57.26207253454767</v>
      </c>
      <c r="O30" s="94">
        <v>38.157043908125011</v>
      </c>
    </row>
    <row r="31" spans="1:24" x14ac:dyDescent="0.25">
      <c r="D31" t="s">
        <v>19</v>
      </c>
      <c r="E31" s="95">
        <v>67.660970308551327</v>
      </c>
      <c r="F31" s="95">
        <v>63.540726469495624</v>
      </c>
      <c r="G31" s="95">
        <v>63.473156157782562</v>
      </c>
      <c r="H31" s="95">
        <v>61.334980710321304</v>
      </c>
      <c r="I31" s="99">
        <v>60.88261279065145</v>
      </c>
      <c r="J31" s="85" t="s">
        <v>126</v>
      </c>
      <c r="L31" s="100">
        <v>2050</v>
      </c>
      <c r="M31" s="98">
        <v>4.4737791323156246</v>
      </c>
      <c r="N31" s="98">
        <v>54.713169025997267</v>
      </c>
      <c r="O31" s="98">
        <v>40.813051841687113</v>
      </c>
    </row>
    <row r="32" spans="1:24" x14ac:dyDescent="0.25">
      <c r="D32" t="s">
        <v>20</v>
      </c>
      <c r="E32" s="95">
        <v>26.599071964767447</v>
      </c>
      <c r="F32" s="95">
        <v>31.690506335056444</v>
      </c>
      <c r="G32" s="95">
        <v>32.56801580315841</v>
      </c>
      <c r="H32" s="95">
        <v>35.311424168907187</v>
      </c>
      <c r="I32" s="99">
        <v>36.43077711703279</v>
      </c>
      <c r="J32" s="85" t="s">
        <v>127</v>
      </c>
      <c r="L32" s="100"/>
      <c r="P32" s="95"/>
      <c r="Q32" s="95"/>
      <c r="R32" s="95"/>
      <c r="S32" s="95"/>
      <c r="T32" s="95"/>
      <c r="U32" s="95"/>
      <c r="V32" s="95"/>
      <c r="W32" s="95"/>
      <c r="X32" s="95"/>
    </row>
    <row r="33" spans="3:24" x14ac:dyDescent="0.25">
      <c r="C33" s="100" t="s">
        <v>120</v>
      </c>
      <c r="D33" t="s">
        <v>18</v>
      </c>
      <c r="E33" s="95">
        <v>5.7399577266812374</v>
      </c>
      <c r="F33" s="95">
        <v>4.765785791042469</v>
      </c>
      <c r="G33" s="95">
        <v>4.1164285310113211</v>
      </c>
      <c r="H33" s="95">
        <v>3.6544910367674475</v>
      </c>
      <c r="I33" s="99">
        <v>3.0952867150886902</v>
      </c>
      <c r="J33" s="85" t="s">
        <v>128</v>
      </c>
      <c r="L33" s="100">
        <v>2010</v>
      </c>
      <c r="M33" s="95">
        <v>5.7399577266812374</v>
      </c>
      <c r="N33" s="95">
        <v>67.660970308551327</v>
      </c>
      <c r="O33" s="95">
        <v>26.599071964767447</v>
      </c>
      <c r="P33" s="95"/>
      <c r="Q33" s="95"/>
      <c r="R33" s="95"/>
      <c r="S33" s="95"/>
      <c r="T33" s="95"/>
      <c r="U33" s="95"/>
      <c r="V33" s="95"/>
      <c r="W33" s="95"/>
      <c r="X33" s="95"/>
    </row>
    <row r="34" spans="3:24" x14ac:dyDescent="0.25">
      <c r="D34" t="s">
        <v>19</v>
      </c>
      <c r="E34" s="95">
        <v>67.660970308551327</v>
      </c>
      <c r="F34" s="95">
        <v>63.496555379423967</v>
      </c>
      <c r="G34" s="95">
        <v>62.887755592897442</v>
      </c>
      <c r="H34" s="95">
        <v>60.17597797793065</v>
      </c>
      <c r="I34" s="99">
        <v>59.215559492840406</v>
      </c>
      <c r="J34" s="85" t="s">
        <v>129</v>
      </c>
      <c r="L34" s="100">
        <v>2020</v>
      </c>
      <c r="M34" s="95">
        <v>4.7687671954479418</v>
      </c>
      <c r="N34" s="95">
        <v>63.540726469495624</v>
      </c>
      <c r="O34" s="95">
        <v>31.690506335056444</v>
      </c>
      <c r="P34" s="95"/>
      <c r="Q34" s="95"/>
      <c r="R34" s="95"/>
      <c r="S34" s="95"/>
      <c r="T34" s="95"/>
      <c r="U34" s="95"/>
      <c r="V34" s="95"/>
      <c r="W34" s="95"/>
      <c r="X34" s="95"/>
    </row>
    <row r="35" spans="3:24" x14ac:dyDescent="0.25">
      <c r="D35" t="s">
        <v>20</v>
      </c>
      <c r="E35" s="95">
        <v>26.599071964767447</v>
      </c>
      <c r="F35" s="95">
        <v>31.737658829533576</v>
      </c>
      <c r="G35" s="95">
        <v>32.995815876091228</v>
      </c>
      <c r="H35" s="95">
        <v>36.169530985301904</v>
      </c>
      <c r="I35" s="99">
        <v>37.689153792070904</v>
      </c>
      <c r="J35" s="85" t="s">
        <v>130</v>
      </c>
      <c r="L35" s="100">
        <v>2030</v>
      </c>
      <c r="M35" s="95">
        <v>3.9588280390590236</v>
      </c>
      <c r="N35" s="95">
        <v>63.473156157782562</v>
      </c>
      <c r="O35" s="95">
        <v>32.56801580315841</v>
      </c>
      <c r="P35" s="95"/>
      <c r="Q35" s="95"/>
      <c r="R35" s="95"/>
      <c r="S35" s="95"/>
      <c r="T35" s="95"/>
      <c r="U35" s="95"/>
      <c r="V35" s="95"/>
      <c r="W35" s="95"/>
      <c r="X35" s="95"/>
    </row>
    <row r="36" spans="3:24" x14ac:dyDescent="0.25">
      <c r="C36" s="100" t="s">
        <v>121</v>
      </c>
      <c r="D36" t="s">
        <v>18</v>
      </c>
      <c r="E36" s="95">
        <v>5.7399577266812374</v>
      </c>
      <c r="F36" s="95">
        <v>4.7494348692869979</v>
      </c>
      <c r="G36" s="95">
        <v>4.1530980218155555</v>
      </c>
      <c r="H36" s="95">
        <v>3.8854111400765499</v>
      </c>
      <c r="I36" s="99">
        <v>3.7851150010725649</v>
      </c>
      <c r="J36" s="85" t="s">
        <v>131</v>
      </c>
      <c r="L36" s="100">
        <v>2040</v>
      </c>
      <c r="M36" s="95">
        <v>3.3535951207715109</v>
      </c>
      <c r="N36" s="95">
        <v>61.334980710321304</v>
      </c>
      <c r="O36" s="95">
        <v>35.311424168907187</v>
      </c>
      <c r="P36" s="78"/>
      <c r="Q36" s="78"/>
      <c r="R36" s="78"/>
      <c r="S36" s="78"/>
      <c r="T36" s="78"/>
      <c r="U36" s="78"/>
      <c r="V36" s="78"/>
      <c r="W36" s="78"/>
      <c r="X36" s="78"/>
    </row>
    <row r="37" spans="3:24" x14ac:dyDescent="0.25">
      <c r="D37" t="s">
        <v>19</v>
      </c>
      <c r="E37" s="95">
        <v>67.660970308551327</v>
      </c>
      <c r="F37" s="95">
        <v>63.408862573560384</v>
      </c>
      <c r="G37" s="95">
        <v>62.789579892015638</v>
      </c>
      <c r="H37" s="95">
        <v>60.120926071255262</v>
      </c>
      <c r="I37" s="99">
        <v>59.046289616655201</v>
      </c>
      <c r="J37" s="85" t="s">
        <v>132</v>
      </c>
      <c r="L37" s="100">
        <v>2050</v>
      </c>
      <c r="M37" s="99">
        <v>2.6866100923157785</v>
      </c>
      <c r="N37" s="99">
        <v>60.88261279065145</v>
      </c>
      <c r="O37" s="99">
        <v>36.43077711703279</v>
      </c>
    </row>
    <row r="38" spans="3:24" x14ac:dyDescent="0.25">
      <c r="D38" t="s">
        <v>20</v>
      </c>
      <c r="E38" s="95">
        <v>26.59907196476745</v>
      </c>
      <c r="F38" s="95">
        <v>31.841702557152622</v>
      </c>
      <c r="G38" s="95">
        <v>33.057322086168803</v>
      </c>
      <c r="H38" s="95">
        <v>35.993662788668189</v>
      </c>
      <c r="I38" s="99">
        <v>37.16859538227223</v>
      </c>
      <c r="J38" s="85" t="s">
        <v>133</v>
      </c>
      <c r="L38" s="100"/>
    </row>
    <row r="39" spans="3:24" x14ac:dyDescent="0.25">
      <c r="L39" s="100">
        <v>2010</v>
      </c>
      <c r="M39" s="95">
        <v>5.7399577266812374</v>
      </c>
      <c r="N39" s="95">
        <v>67.660970308551327</v>
      </c>
      <c r="O39" s="95">
        <v>26.599071964767447</v>
      </c>
    </row>
    <row r="40" spans="3:24" x14ac:dyDescent="0.25">
      <c r="D40" s="73"/>
      <c r="E40" s="95"/>
      <c r="F40" s="95"/>
      <c r="G40" s="95"/>
      <c r="L40" s="100">
        <v>2020</v>
      </c>
      <c r="M40" s="95">
        <v>4.765785791042469</v>
      </c>
      <c r="N40" s="95">
        <v>63.496555379423967</v>
      </c>
      <c r="O40" s="95">
        <v>31.737658829533576</v>
      </c>
    </row>
    <row r="41" spans="3:24" x14ac:dyDescent="0.25">
      <c r="D41" s="73"/>
      <c r="E41" s="95"/>
      <c r="F41" s="95"/>
      <c r="G41" s="95"/>
      <c r="L41" s="100">
        <v>2030</v>
      </c>
      <c r="M41" s="95">
        <v>4.1164285310113211</v>
      </c>
      <c r="N41" s="95">
        <v>62.887755592897442</v>
      </c>
      <c r="O41" s="95">
        <v>32.995815876091228</v>
      </c>
    </row>
    <row r="42" spans="3:24" x14ac:dyDescent="0.25">
      <c r="D42" s="73"/>
      <c r="E42" s="95"/>
      <c r="F42" s="95"/>
      <c r="G42" s="95"/>
      <c r="L42" s="100">
        <v>2040</v>
      </c>
      <c r="M42" s="95">
        <v>3.6544910367674475</v>
      </c>
      <c r="N42" s="95">
        <v>60.17597797793065</v>
      </c>
      <c r="O42" s="95">
        <v>36.169530985301904</v>
      </c>
    </row>
    <row r="43" spans="3:24" x14ac:dyDescent="0.25">
      <c r="D43" s="73"/>
      <c r="E43" s="95"/>
      <c r="F43" s="95"/>
      <c r="G43" s="95"/>
      <c r="L43" s="100">
        <v>2050</v>
      </c>
      <c r="M43" s="99">
        <v>3.0952867150886902</v>
      </c>
      <c r="N43" s="99">
        <v>59.215559492840406</v>
      </c>
      <c r="O43" s="99">
        <v>37.689153792070904</v>
      </c>
    </row>
    <row r="44" spans="3:24" x14ac:dyDescent="0.25">
      <c r="D44" s="73"/>
      <c r="E44" s="95"/>
      <c r="F44" s="95"/>
      <c r="G44" s="95"/>
      <c r="L44" s="100"/>
    </row>
    <row r="45" spans="3:24" x14ac:dyDescent="0.25">
      <c r="D45" s="73"/>
      <c r="E45" s="95"/>
      <c r="F45" s="95"/>
      <c r="G45" s="95"/>
      <c r="L45" s="100">
        <v>2010</v>
      </c>
      <c r="M45" s="95">
        <v>5.7399577266812374</v>
      </c>
      <c r="N45" s="95">
        <v>67.660970308551327</v>
      </c>
      <c r="O45" s="95">
        <v>26.59907196476745</v>
      </c>
    </row>
    <row r="46" spans="3:24" x14ac:dyDescent="0.25">
      <c r="D46" s="101"/>
      <c r="E46" s="102"/>
      <c r="F46" s="102"/>
      <c r="G46" s="102"/>
      <c r="L46" s="100">
        <v>2020</v>
      </c>
      <c r="M46" s="95">
        <v>4.7494348692869979</v>
      </c>
      <c r="N46" s="95">
        <v>63.408862573560384</v>
      </c>
      <c r="O46" s="95">
        <v>31.841702557152622</v>
      </c>
    </row>
    <row r="47" spans="3:24" x14ac:dyDescent="0.25">
      <c r="L47" s="100">
        <v>2030</v>
      </c>
      <c r="M47" s="95">
        <v>4.1530980218155555</v>
      </c>
      <c r="N47" s="95">
        <v>62.789579892015638</v>
      </c>
      <c r="O47" s="95">
        <v>33.057322086168803</v>
      </c>
    </row>
    <row r="48" spans="3:24" x14ac:dyDescent="0.25">
      <c r="D48" s="4"/>
      <c r="E48" t="s">
        <v>18</v>
      </c>
      <c r="F48" t="s">
        <v>19</v>
      </c>
      <c r="G48" t="s">
        <v>20</v>
      </c>
      <c r="L48" s="100">
        <v>2040</v>
      </c>
      <c r="M48" s="95">
        <v>3.8854111400765499</v>
      </c>
      <c r="N48" s="95">
        <v>60.120926071255262</v>
      </c>
      <c r="O48" s="95">
        <v>35.993662788668189</v>
      </c>
    </row>
    <row r="49" spans="4:15" x14ac:dyDescent="0.25">
      <c r="D49">
        <v>2000</v>
      </c>
      <c r="E49">
        <v>14.6</v>
      </c>
      <c r="F49">
        <v>68.099999999999994</v>
      </c>
      <c r="G49">
        <v>17.399999999999999</v>
      </c>
      <c r="L49" s="100">
        <v>2050</v>
      </c>
      <c r="M49" s="99">
        <v>3.7851150010725649</v>
      </c>
      <c r="N49" s="99">
        <v>59.046289616655201</v>
      </c>
      <c r="O49" s="99">
        <v>37.16859538227223</v>
      </c>
    </row>
    <row r="50" spans="4:15" x14ac:dyDescent="0.25">
      <c r="D50">
        <v>2010</v>
      </c>
      <c r="E50">
        <v>13.4</v>
      </c>
      <c r="F50">
        <v>64.099999999999994</v>
      </c>
      <c r="G50">
        <v>22.5</v>
      </c>
    </row>
    <row r="51" spans="4:15" x14ac:dyDescent="0.25">
      <c r="D51">
        <v>2020</v>
      </c>
      <c r="E51">
        <v>12.2</v>
      </c>
      <c r="F51">
        <v>60</v>
      </c>
      <c r="G51">
        <v>27.8</v>
      </c>
    </row>
    <row r="52" spans="4:15" x14ac:dyDescent="0.25">
      <c r="D52">
        <v>2030</v>
      </c>
      <c r="E52">
        <v>11.3</v>
      </c>
      <c r="F52">
        <v>59.2</v>
      </c>
      <c r="G52">
        <v>29.6</v>
      </c>
    </row>
    <row r="53" spans="4:15" x14ac:dyDescent="0.25">
      <c r="D53">
        <v>2040</v>
      </c>
      <c r="E53">
        <v>11</v>
      </c>
      <c r="F53">
        <v>55.8</v>
      </c>
      <c r="G53">
        <v>33.200000000000003</v>
      </c>
    </row>
    <row r="54" spans="4:15" x14ac:dyDescent="0.25">
      <c r="D54">
        <v>2050</v>
      </c>
      <c r="E54">
        <v>10.8</v>
      </c>
      <c r="F54">
        <v>53.6</v>
      </c>
      <c r="G54">
        <v>35.700000000000003</v>
      </c>
    </row>
    <row r="55" spans="4:15" x14ac:dyDescent="0.25">
      <c r="M55" t="s">
        <v>18</v>
      </c>
      <c r="N55" t="s">
        <v>19</v>
      </c>
      <c r="O55" t="s">
        <v>20</v>
      </c>
    </row>
    <row r="56" spans="4:15" x14ac:dyDescent="0.25">
      <c r="L56" s="100">
        <v>2010</v>
      </c>
      <c r="M56" s="94">
        <v>5.7399577266812374</v>
      </c>
      <c r="N56" s="94">
        <v>67.660970308551327</v>
      </c>
      <c r="O56" s="94">
        <v>26.599071964767447</v>
      </c>
    </row>
  </sheetData>
  <mergeCells count="38">
    <mergeCell ref="D1:E1"/>
    <mergeCell ref="F1:G1"/>
    <mergeCell ref="H1:I1"/>
    <mergeCell ref="J1:K1"/>
    <mergeCell ref="L1:M1"/>
    <mergeCell ref="B7:B10"/>
    <mergeCell ref="A7:A10"/>
    <mergeCell ref="A3:A6"/>
    <mergeCell ref="A11:A14"/>
    <mergeCell ref="B11:B14"/>
    <mergeCell ref="B3:B6"/>
    <mergeCell ref="A15:A18"/>
    <mergeCell ref="B15:B18"/>
    <mergeCell ref="D20:E20"/>
    <mergeCell ref="D21:E21"/>
    <mergeCell ref="D22:E22"/>
    <mergeCell ref="D24:E24"/>
    <mergeCell ref="F20:G20"/>
    <mergeCell ref="H20:I20"/>
    <mergeCell ref="J20:K20"/>
    <mergeCell ref="J21:K21"/>
    <mergeCell ref="J22:K22"/>
    <mergeCell ref="J23:K23"/>
    <mergeCell ref="J24:K24"/>
    <mergeCell ref="H21:I21"/>
    <mergeCell ref="H22:I22"/>
    <mergeCell ref="D23:E23"/>
    <mergeCell ref="H23:I23"/>
    <mergeCell ref="H24:I24"/>
    <mergeCell ref="F21:G21"/>
    <mergeCell ref="F22:G22"/>
    <mergeCell ref="F23:G23"/>
    <mergeCell ref="F24:G24"/>
    <mergeCell ref="L21:M21"/>
    <mergeCell ref="L22:M22"/>
    <mergeCell ref="L23:M23"/>
    <mergeCell ref="L24:M24"/>
    <mergeCell ref="L20:M20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43"/>
  <sheetViews>
    <sheetView topLeftCell="A19" zoomScaleNormal="100" workbookViewId="0">
      <selection activeCell="AL20" activeCellId="4" sqref="J20:K23 Q20:R23 X20:Y23 AE20:AF23 AL20:AM23"/>
    </sheetView>
  </sheetViews>
  <sheetFormatPr defaultRowHeight="15" x14ac:dyDescent="0.25"/>
  <cols>
    <col min="4" max="7" width="0" hidden="1" customWidth="1"/>
    <col min="8" max="8" width="11.85546875" hidden="1" customWidth="1"/>
    <col min="10" max="10" width="13.42578125" customWidth="1"/>
    <col min="12" max="14" width="0" hidden="1" customWidth="1"/>
    <col min="15" max="15" width="11.7109375" hidden="1" customWidth="1"/>
    <col min="16" max="16" width="11.7109375" customWidth="1"/>
    <col min="17" max="17" width="13.5703125" customWidth="1"/>
    <col min="19" max="22" width="0" hidden="1" customWidth="1"/>
    <col min="23" max="23" width="10.7109375" customWidth="1"/>
    <col min="24" max="24" width="15.7109375" customWidth="1"/>
    <col min="26" max="28" width="0" hidden="1" customWidth="1"/>
    <col min="29" max="29" width="12.5703125" hidden="1" customWidth="1"/>
    <col min="31" max="31" width="12.85546875" customWidth="1"/>
    <col min="33" max="36" width="0" hidden="1" customWidth="1"/>
    <col min="38" max="38" width="13.28515625" customWidth="1"/>
  </cols>
  <sheetData>
    <row r="1" spans="1:39" x14ac:dyDescent="0.25">
      <c r="A1" t="s">
        <v>88</v>
      </c>
    </row>
    <row r="2" spans="1:39" ht="21" x14ac:dyDescent="0.35">
      <c r="A2" t="s">
        <v>97</v>
      </c>
      <c r="E2" s="106">
        <v>2010</v>
      </c>
      <c r="F2" s="106"/>
      <c r="G2" s="106"/>
      <c r="H2" s="106"/>
      <c r="I2" s="106"/>
      <c r="J2" s="106"/>
      <c r="K2" s="106"/>
      <c r="M2" s="107">
        <v>2020</v>
      </c>
      <c r="N2" s="107"/>
      <c r="O2" s="107"/>
      <c r="P2" s="107"/>
      <c r="Q2" s="107"/>
      <c r="R2" s="107"/>
      <c r="T2" s="107">
        <v>2030</v>
      </c>
      <c r="U2" s="107"/>
      <c r="V2" s="107"/>
      <c r="W2" s="107"/>
      <c r="X2" s="107"/>
      <c r="Y2" s="107"/>
      <c r="AA2" s="107">
        <v>2040</v>
      </c>
      <c r="AB2" s="107"/>
      <c r="AC2" s="107"/>
      <c r="AD2" s="107"/>
      <c r="AE2" s="107"/>
      <c r="AF2" s="107"/>
      <c r="AH2" s="107">
        <v>2050</v>
      </c>
      <c r="AI2" s="107"/>
      <c r="AJ2" s="107"/>
      <c r="AK2" s="107"/>
      <c r="AL2" s="107"/>
      <c r="AM2" s="107"/>
    </row>
    <row r="3" spans="1:39" ht="21" x14ac:dyDescent="0.35">
      <c r="A3" t="s">
        <v>99</v>
      </c>
      <c r="E3" s="82"/>
      <c r="F3" s="82"/>
      <c r="G3" s="82"/>
      <c r="H3" s="82"/>
      <c r="I3" s="82"/>
      <c r="J3" s="82"/>
      <c r="K3" s="82"/>
      <c r="M3" s="84"/>
      <c r="N3" s="84"/>
      <c r="O3" s="84"/>
      <c r="P3" s="84"/>
      <c r="Q3" s="84"/>
      <c r="R3" s="84"/>
      <c r="T3" s="84"/>
      <c r="U3" s="84"/>
      <c r="V3" s="84"/>
      <c r="W3" s="84"/>
      <c r="X3" s="84"/>
      <c r="Y3" s="84"/>
      <c r="AA3" s="84"/>
      <c r="AB3" s="84"/>
      <c r="AC3" s="84"/>
      <c r="AD3" s="84"/>
      <c r="AE3" s="84"/>
      <c r="AF3" s="84"/>
      <c r="AH3" s="84"/>
      <c r="AI3" s="84"/>
      <c r="AJ3" s="84"/>
      <c r="AK3" s="84"/>
      <c r="AL3" s="84"/>
      <c r="AM3" s="84"/>
    </row>
    <row r="4" spans="1:39" ht="60" x14ac:dyDescent="0.25">
      <c r="A4" s="11" t="s">
        <v>1</v>
      </c>
      <c r="B4" s="11" t="s">
        <v>21</v>
      </c>
      <c r="C4" s="12" t="s">
        <v>29</v>
      </c>
      <c r="D4" s="11" t="s">
        <v>30</v>
      </c>
      <c r="E4" s="11" t="s">
        <v>31</v>
      </c>
      <c r="F4" s="16" t="s">
        <v>32</v>
      </c>
      <c r="G4" s="16" t="s">
        <v>32</v>
      </c>
      <c r="H4" s="16" t="s">
        <v>43</v>
      </c>
      <c r="I4" s="16" t="s">
        <v>86</v>
      </c>
      <c r="J4" s="16" t="s">
        <v>87</v>
      </c>
      <c r="K4" s="74" t="s">
        <v>92</v>
      </c>
      <c r="M4" s="11" t="s">
        <v>30</v>
      </c>
      <c r="N4" s="11" t="s">
        <v>31</v>
      </c>
      <c r="O4" s="16" t="s">
        <v>43</v>
      </c>
      <c r="P4" s="16" t="s">
        <v>86</v>
      </c>
      <c r="Q4" s="16" t="s">
        <v>87</v>
      </c>
      <c r="R4" s="74" t="s">
        <v>93</v>
      </c>
      <c r="T4" s="11" t="s">
        <v>30</v>
      </c>
      <c r="U4" s="11" t="s">
        <v>31</v>
      </c>
      <c r="V4" s="16" t="s">
        <v>43</v>
      </c>
      <c r="W4" s="16" t="s">
        <v>86</v>
      </c>
      <c r="X4" s="16" t="s">
        <v>87</v>
      </c>
      <c r="Y4" s="74" t="s">
        <v>94</v>
      </c>
      <c r="AA4" s="11" t="s">
        <v>30</v>
      </c>
      <c r="AB4" s="11" t="s">
        <v>31</v>
      </c>
      <c r="AC4" s="16" t="s">
        <v>43</v>
      </c>
      <c r="AD4" s="16" t="s">
        <v>86</v>
      </c>
      <c r="AE4" s="16" t="s">
        <v>87</v>
      </c>
      <c r="AF4" s="74" t="s">
        <v>95</v>
      </c>
      <c r="AH4" s="11" t="s">
        <v>30</v>
      </c>
      <c r="AI4" s="11" t="s">
        <v>31</v>
      </c>
      <c r="AJ4" s="16" t="s">
        <v>43</v>
      </c>
      <c r="AK4" s="16" t="s">
        <v>86</v>
      </c>
      <c r="AL4" s="16" t="s">
        <v>87</v>
      </c>
      <c r="AM4" s="74" t="s">
        <v>96</v>
      </c>
    </row>
    <row r="5" spans="1:39" x14ac:dyDescent="0.25">
      <c r="A5" t="s">
        <v>2</v>
      </c>
      <c r="B5" t="s">
        <v>18</v>
      </c>
      <c r="C5" s="14">
        <v>3.4242730436734301E-2</v>
      </c>
      <c r="E5">
        <f>E$20*$C5</f>
        <v>16926.030370494696</v>
      </c>
      <c r="F5" s="17">
        <v>243.88196721312318</v>
      </c>
      <c r="G5" s="17">
        <f>F5*80/160</f>
        <v>121.94098360656157</v>
      </c>
      <c r="H5" s="69">
        <f>$G5*E5</f>
        <v>2063976.7919326571</v>
      </c>
      <c r="I5" s="71">
        <v>18</v>
      </c>
      <c r="J5" s="72">
        <f>H5*$I5</f>
        <v>37151582.254787825</v>
      </c>
      <c r="K5" s="75">
        <f>J5/J$23*100</f>
        <v>0.2004356229351256</v>
      </c>
      <c r="N5">
        <f>N$20*$C5</f>
        <v>16009.414450615899</v>
      </c>
      <c r="O5" s="69">
        <f>$G5*N5</f>
        <v>1952203.7450732032</v>
      </c>
      <c r="P5" s="69">
        <f>I5+$D29</f>
        <v>21</v>
      </c>
      <c r="Q5" s="72">
        <f>O5*$P5</f>
        <v>40996278.646537267</v>
      </c>
      <c r="R5" s="75">
        <f>Q5/Q$23*100</f>
        <v>0.22883137131361375</v>
      </c>
      <c r="U5">
        <f>U$20*$C5</f>
        <v>14931.381328179561</v>
      </c>
      <c r="V5" s="69">
        <f>$G5*U5</f>
        <v>1820747.3257628635</v>
      </c>
      <c r="W5" s="69">
        <f>P5+$D29</f>
        <v>24</v>
      </c>
      <c r="X5" s="72">
        <f>V5*$W5</f>
        <v>43697935.818308726</v>
      </c>
      <c r="Y5" s="75">
        <f>X5/X$23*100</f>
        <v>0.26407434162953997</v>
      </c>
      <c r="AB5">
        <f>AB$20*$C5</f>
        <v>14315.275790822452</v>
      </c>
      <c r="AC5" s="69">
        <f>$G5*AB5</f>
        <v>1745618.8105320884</v>
      </c>
      <c r="AD5" s="69">
        <f>W5+$D29</f>
        <v>27</v>
      </c>
      <c r="AE5" s="72">
        <f>AC5*$AD5</f>
        <v>47131707.884366386</v>
      </c>
      <c r="AF5" s="75">
        <f>AE5/AE$23*100</f>
        <v>0.32114413253403551</v>
      </c>
      <c r="AI5">
        <f>AI$20*$C5</f>
        <v>13652.734662592373</v>
      </c>
      <c r="AJ5" s="69">
        <f>$G5*AI5</f>
        <v>1664827.8936759115</v>
      </c>
      <c r="AK5" s="69">
        <f>AD5+$D29</f>
        <v>30</v>
      </c>
      <c r="AL5" s="72">
        <f>AJ5*$AK5</f>
        <v>49944836.810277343</v>
      </c>
      <c r="AM5" s="75">
        <f>AL5/AL$23*100</f>
        <v>0.39487515473025858</v>
      </c>
    </row>
    <row r="6" spans="1:39" x14ac:dyDescent="0.25">
      <c r="B6" t="s">
        <v>19</v>
      </c>
      <c r="C6" s="14">
        <v>0.4751272946065358</v>
      </c>
      <c r="E6">
        <f>E$21*$C6</f>
        <v>1123440.1477167939</v>
      </c>
      <c r="F6" s="17">
        <v>355.47039550898205</v>
      </c>
      <c r="G6" s="17">
        <f>F6*80/160</f>
        <v>177.73519775449103</v>
      </c>
      <c r="H6" s="69">
        <f>$G6*E6</f>
        <v>199674856.81977898</v>
      </c>
      <c r="I6" s="71">
        <v>18</v>
      </c>
      <c r="J6" s="72">
        <f t="shared" ref="J6:J19" si="0">H6*I6</f>
        <v>3594147422.7560215</v>
      </c>
      <c r="K6" s="75">
        <f t="shared" ref="K6:K23" si="1">J6/J$23*100</f>
        <v>19.390699773168883</v>
      </c>
      <c r="N6">
        <f>N$21*$C6</f>
        <v>1092467.3352790494</v>
      </c>
      <c r="O6" s="69">
        <f>$G6*N6</f>
        <v>194169897.87614369</v>
      </c>
      <c r="P6" s="69">
        <f t="shared" ref="P6:P13" si="2">I6+$D30</f>
        <v>21</v>
      </c>
      <c r="Q6" s="72">
        <f>O6*$P6</f>
        <v>4077567855.3990173</v>
      </c>
      <c r="R6" s="75">
        <f t="shared" ref="R6:R23" si="3">Q6/Q$23*100</f>
        <v>22.760003463243123</v>
      </c>
      <c r="U6">
        <f>U$21*$C6</f>
        <v>1085387.5687030442</v>
      </c>
      <c r="V6" s="69">
        <f>$G6*U6</f>
        <v>192911574.16370177</v>
      </c>
      <c r="W6" s="69">
        <f t="shared" ref="W6:W13" si="4">P6+$D30</f>
        <v>24</v>
      </c>
      <c r="X6" s="72">
        <f t="shared" ref="X6:X19" si="5">V6*$W6</f>
        <v>4629877779.9288425</v>
      </c>
      <c r="Y6" s="75">
        <f t="shared" ref="Y6:Y23" si="6">X6/X$23*100</f>
        <v>27.979168893549485</v>
      </c>
      <c r="AB6">
        <f>AB$21*$C6</f>
        <v>1007587.6277125048</v>
      </c>
      <c r="AC6" s="69">
        <f>$G6*AB6</f>
        <v>179083786.26646054</v>
      </c>
      <c r="AD6" s="69">
        <f t="shared" ref="AD6:AD13" si="7">W6+$D30</f>
        <v>27</v>
      </c>
      <c r="AE6" s="72">
        <f t="shared" ref="AE6:AE19" si="8">AC6*$AD6</f>
        <v>4835262229.1944342</v>
      </c>
      <c r="AF6" s="75">
        <f t="shared" ref="AF6:AF23" si="9">AE6/AE$23*100</f>
        <v>32.946314994121046</v>
      </c>
      <c r="AI6">
        <f>AI$21*$C6</f>
        <v>940161.09826550586</v>
      </c>
      <c r="AJ6" s="69">
        <f>$G6*AI6</f>
        <v>167099718.72129914</v>
      </c>
      <c r="AK6" s="69">
        <f t="shared" ref="AK6:AK13" si="10">AD6+$D30</f>
        <v>30</v>
      </c>
      <c r="AL6" s="72">
        <f t="shared" ref="AL6:AL19" si="11">AJ6*$AK6</f>
        <v>5012991561.6389742</v>
      </c>
      <c r="AM6" s="75">
        <f t="shared" ref="AM6:AM23" si="12">AL6/AL$23*100</f>
        <v>39.633842955240972</v>
      </c>
    </row>
    <row r="7" spans="1:39" x14ac:dyDescent="0.25">
      <c r="B7" t="s">
        <v>20</v>
      </c>
      <c r="C7" s="14">
        <v>0.29173060528559069</v>
      </c>
      <c r="E7">
        <f>E$22*$C7</f>
        <v>242128.79551150746</v>
      </c>
      <c r="F7" s="17">
        <v>364.19403857394053</v>
      </c>
      <c r="G7" s="17">
        <f>F7*80/160</f>
        <v>182.09701928697027</v>
      </c>
      <c r="H7" s="69">
        <f>$G7*E7</f>
        <v>44090931.946189851</v>
      </c>
      <c r="I7" s="71">
        <v>18</v>
      </c>
      <c r="J7" s="72">
        <f t="shared" si="0"/>
        <v>793636775.03141737</v>
      </c>
      <c r="K7" s="75">
        <f t="shared" si="1"/>
        <v>4.2817309986076326</v>
      </c>
      <c r="N7">
        <f>N$22*$C7</f>
        <v>310794.99692327995</v>
      </c>
      <c r="O7" s="69">
        <f>$G7*N7</f>
        <v>56594842.549032375</v>
      </c>
      <c r="P7" s="69">
        <f t="shared" si="2"/>
        <v>21</v>
      </c>
      <c r="Q7" s="72">
        <f>O7*$P7</f>
        <v>1188491693.5296798</v>
      </c>
      <c r="R7" s="75">
        <f t="shared" si="3"/>
        <v>6.6338749028921216</v>
      </c>
      <c r="U7">
        <f>U$22*$C7</f>
        <v>333216.77788413787</v>
      </c>
      <c r="V7" s="69">
        <f>$G7*U7</f>
        <v>60677782.02910994</v>
      </c>
      <c r="W7" s="69">
        <f t="shared" si="4"/>
        <v>24</v>
      </c>
      <c r="X7" s="72">
        <f t="shared" si="5"/>
        <v>1456266768.6986384</v>
      </c>
      <c r="Y7" s="75">
        <f t="shared" si="6"/>
        <v>8.8004772074369928</v>
      </c>
      <c r="AB7">
        <f>AB$22*$C7</f>
        <v>368093.98772280791</v>
      </c>
      <c r="AC7" s="69">
        <f>$G7*AB7</f>
        <v>67028817.981777951</v>
      </c>
      <c r="AD7" s="69">
        <f t="shared" si="7"/>
        <v>27</v>
      </c>
      <c r="AE7" s="72">
        <f t="shared" si="8"/>
        <v>1809778085.5080047</v>
      </c>
      <c r="AF7" s="75">
        <f t="shared" si="9"/>
        <v>12.33139301413603</v>
      </c>
      <c r="AI7">
        <f>AI$22*$C7</f>
        <v>384483.50856652076</v>
      </c>
      <c r="AJ7" s="69">
        <f>$G7*AI7</f>
        <v>70013300.874959722</v>
      </c>
      <c r="AK7" s="69">
        <f t="shared" si="10"/>
        <v>30</v>
      </c>
      <c r="AL7" s="72">
        <f t="shared" si="11"/>
        <v>2100399026.2487917</v>
      </c>
      <c r="AM7" s="75">
        <f t="shared" si="12"/>
        <v>16.60622886077001</v>
      </c>
    </row>
    <row r="8" spans="1:39" x14ac:dyDescent="0.25">
      <c r="A8" t="s">
        <v>3</v>
      </c>
      <c r="B8" t="s">
        <v>18</v>
      </c>
      <c r="C8" s="14">
        <v>1.7102653343812824E-2</v>
      </c>
      <c r="E8">
        <f>E$20*C8</f>
        <v>8453.7659883242068</v>
      </c>
      <c r="F8" s="17">
        <v>52.04157549233819</v>
      </c>
      <c r="G8" s="17"/>
      <c r="H8" s="69">
        <f>$F8*E8</f>
        <v>439947.30087593518</v>
      </c>
      <c r="I8" s="71">
        <v>48</v>
      </c>
      <c r="J8" s="72">
        <f t="shared" si="0"/>
        <v>21117470.442044888</v>
      </c>
      <c r="K8" s="75">
        <f t="shared" si="1"/>
        <v>0.11393036543739374</v>
      </c>
      <c r="N8">
        <f>N$20*$C8</f>
        <v>7995.9589114011014</v>
      </c>
      <c r="O8" s="69">
        <f>$F8*N8</f>
        <v>416122.29932131473</v>
      </c>
      <c r="P8" s="69">
        <f t="shared" si="2"/>
        <v>52</v>
      </c>
      <c r="Q8" s="72">
        <f t="shared" ref="Q8:Q19" si="13">O8*$P8</f>
        <v>21638359.564708367</v>
      </c>
      <c r="R8" s="75">
        <f t="shared" si="3"/>
        <v>0.12078012091927995</v>
      </c>
      <c r="U8">
        <f>U$20*$C8</f>
        <v>7457.5314393208355</v>
      </c>
      <c r="V8" s="69">
        <f>$F8*U8</f>
        <v>388101.68538590072</v>
      </c>
      <c r="W8" s="69">
        <f t="shared" si="4"/>
        <v>56</v>
      </c>
      <c r="X8" s="72">
        <f t="shared" si="5"/>
        <v>21733694.381610442</v>
      </c>
      <c r="Y8" s="75">
        <f t="shared" si="6"/>
        <v>0.13134055253467444</v>
      </c>
      <c r="AB8">
        <f>AB$20*$C8</f>
        <v>7149.8153403348033</v>
      </c>
      <c r="AC8" s="69">
        <f>$F8*AB8</f>
        <v>372087.65479031135</v>
      </c>
      <c r="AD8" s="69">
        <f t="shared" si="7"/>
        <v>60</v>
      </c>
      <c r="AE8" s="72">
        <f t="shared" si="8"/>
        <v>22325259.287418682</v>
      </c>
      <c r="AF8" s="75">
        <f t="shared" si="9"/>
        <v>0.15211895238435993</v>
      </c>
      <c r="AI8">
        <f>AI$20*$C8</f>
        <v>6818.9068205521053</v>
      </c>
      <c r="AJ8" s="69">
        <f>$F8*AI8</f>
        <v>354866.65407698217</v>
      </c>
      <c r="AK8" s="69">
        <f t="shared" si="10"/>
        <v>64</v>
      </c>
      <c r="AL8" s="72">
        <f t="shared" si="11"/>
        <v>22711465.860926859</v>
      </c>
      <c r="AM8" s="75">
        <f t="shared" si="12"/>
        <v>0.17956197614683286</v>
      </c>
    </row>
    <row r="9" spans="1:39" x14ac:dyDescent="0.25">
      <c r="B9" t="s">
        <v>19</v>
      </c>
      <c r="C9" s="14">
        <v>3.7157935282887841E-2</v>
      </c>
      <c r="E9">
        <f>E$21*C9</f>
        <v>87860.06776905623</v>
      </c>
      <c r="F9" s="17">
        <v>62.559246368038707</v>
      </c>
      <c r="G9" s="17"/>
      <c r="H9" s="69">
        <f t="shared" ref="H9:H19" si="14">$F9*E9</f>
        <v>5496459.6254769657</v>
      </c>
      <c r="I9" s="71">
        <v>48</v>
      </c>
      <c r="J9" s="72">
        <f t="shared" si="0"/>
        <v>263830062.02289435</v>
      </c>
      <c r="K9" s="75">
        <f t="shared" si="1"/>
        <v>1.4233833290843687</v>
      </c>
      <c r="N9">
        <f>N$21*$C9</f>
        <v>85437.799519778302</v>
      </c>
      <c r="O9" s="69">
        <f t="shared" ref="O9:O19" si="15">$F9*N9</f>
        <v>5344924.3493009098</v>
      </c>
      <c r="P9" s="69">
        <f t="shared" si="2"/>
        <v>52</v>
      </c>
      <c r="Q9" s="72">
        <f t="shared" si="13"/>
        <v>277936066.16364729</v>
      </c>
      <c r="R9" s="75">
        <f t="shared" si="3"/>
        <v>1.5513723015225598</v>
      </c>
      <c r="U9">
        <f>U$21*$C9</f>
        <v>84884.117356628733</v>
      </c>
      <c r="V9" s="69">
        <f t="shared" ref="V9:V19" si="16">$F9*U9</f>
        <v>5310286.4104468478</v>
      </c>
      <c r="W9" s="69">
        <f t="shared" si="4"/>
        <v>56</v>
      </c>
      <c r="X9" s="72">
        <f t="shared" si="5"/>
        <v>297376038.9850235</v>
      </c>
      <c r="Y9" s="75">
        <f t="shared" si="6"/>
        <v>1.7970959094701211</v>
      </c>
      <c r="AB9">
        <f>AB$21*$C9</f>
        <v>78799.673871366613</v>
      </c>
      <c r="AC9" s="69">
        <f t="shared" ref="AC9:AC19" si="17">$F9*AB9</f>
        <v>4929648.2114399262</v>
      </c>
      <c r="AD9" s="69">
        <f t="shared" si="7"/>
        <v>60</v>
      </c>
      <c r="AE9" s="72">
        <f t="shared" si="8"/>
        <v>295778892.68639559</v>
      </c>
      <c r="AF9" s="75">
        <f t="shared" si="9"/>
        <v>2.0153663038626606</v>
      </c>
      <c r="AI9">
        <f>AI$21*$C9</f>
        <v>73526.496249322969</v>
      </c>
      <c r="AJ9" s="69">
        <f t="shared" ref="AJ9:AJ19" si="18">$F9*AI9</f>
        <v>4599762.1934400694</v>
      </c>
      <c r="AK9" s="69">
        <f t="shared" si="10"/>
        <v>64</v>
      </c>
      <c r="AL9" s="72">
        <f t="shared" si="11"/>
        <v>294384780.38016444</v>
      </c>
      <c r="AM9" s="75">
        <f t="shared" si="12"/>
        <v>2.3274725302322019</v>
      </c>
    </row>
    <row r="10" spans="1:39" x14ac:dyDescent="0.25">
      <c r="B10" t="s">
        <v>20</v>
      </c>
      <c r="C10" s="14">
        <v>9.0010075176316123E-2</v>
      </c>
      <c r="E10">
        <f>E$22*C10</f>
        <v>74706.01538363217</v>
      </c>
      <c r="F10" s="17">
        <v>60.195970380574359</v>
      </c>
      <c r="G10" s="17"/>
      <c r="H10" s="69">
        <f t="shared" si="14"/>
        <v>4497001.0892838547</v>
      </c>
      <c r="I10" s="71">
        <v>48</v>
      </c>
      <c r="J10" s="72">
        <f t="shared" si="0"/>
        <v>215856052.28562504</v>
      </c>
      <c r="K10" s="75">
        <f t="shared" si="1"/>
        <v>1.1645598835460256</v>
      </c>
      <c r="N10">
        <f>N$22*$C10</f>
        <v>95892.17082692252</v>
      </c>
      <c r="O10" s="69">
        <f t="shared" si="15"/>
        <v>5772322.2748264046</v>
      </c>
      <c r="P10" s="69">
        <f t="shared" si="2"/>
        <v>52</v>
      </c>
      <c r="Q10" s="72">
        <f t="shared" si="13"/>
        <v>300160758.29097307</v>
      </c>
      <c r="R10" s="75">
        <f t="shared" si="3"/>
        <v>1.6754251898436414</v>
      </c>
      <c r="U10">
        <f>U$22*$C10</f>
        <v>102810.14978870474</v>
      </c>
      <c r="V10" s="69">
        <f t="shared" si="16"/>
        <v>6188756.7315032836</v>
      </c>
      <c r="W10" s="69">
        <f t="shared" si="4"/>
        <v>56</v>
      </c>
      <c r="X10" s="72">
        <f t="shared" si="5"/>
        <v>346570376.96418387</v>
      </c>
      <c r="Y10" s="75">
        <f t="shared" si="6"/>
        <v>2.0943859798240814</v>
      </c>
      <c r="AB10">
        <f>AB$22*$C10</f>
        <v>113571.10603614961</v>
      </c>
      <c r="AC10" s="69">
        <f t="shared" si="17"/>
        <v>6836522.9350411315</v>
      </c>
      <c r="AD10" s="69">
        <f t="shared" si="7"/>
        <v>60</v>
      </c>
      <c r="AE10" s="72">
        <f t="shared" si="8"/>
        <v>410191376.10246789</v>
      </c>
      <c r="AF10" s="75">
        <f t="shared" si="9"/>
        <v>2.7949454743833813</v>
      </c>
      <c r="AI10">
        <f>AI$22*$C10</f>
        <v>118627.90150607371</v>
      </c>
      <c r="AJ10" s="69">
        <f t="shared" si="18"/>
        <v>7140921.6453693053</v>
      </c>
      <c r="AK10" s="69">
        <f t="shared" si="10"/>
        <v>64</v>
      </c>
      <c r="AL10" s="72">
        <f t="shared" si="11"/>
        <v>457018985.30363554</v>
      </c>
      <c r="AM10" s="75">
        <f t="shared" si="12"/>
        <v>3.613295268577267</v>
      </c>
    </row>
    <row r="11" spans="1:39" x14ac:dyDescent="0.25">
      <c r="A11" t="s">
        <v>4</v>
      </c>
      <c r="B11" t="s">
        <v>18</v>
      </c>
      <c r="C11" s="14">
        <v>0.29942741663861017</v>
      </c>
      <c r="E11">
        <f>E$20*C11</f>
        <v>148005.64917413832</v>
      </c>
      <c r="F11" s="17">
        <v>40.686914135729978</v>
      </c>
      <c r="G11" s="17"/>
      <c r="H11" s="69">
        <f t="shared" si="14"/>
        <v>6021893.1395511404</v>
      </c>
      <c r="I11" s="71">
        <v>167</v>
      </c>
      <c r="J11" s="72">
        <f t="shared" si="0"/>
        <v>1005656154.3050405</v>
      </c>
      <c r="K11" s="75">
        <f t="shared" si="1"/>
        <v>5.4255917383087171</v>
      </c>
      <c r="N11">
        <f>N$20*$C11</f>
        <v>139990.51914686977</v>
      </c>
      <c r="O11" s="69">
        <f t="shared" si="15"/>
        <v>5695782.2323449543</v>
      </c>
      <c r="P11" s="69">
        <f t="shared" si="2"/>
        <v>139</v>
      </c>
      <c r="Q11" s="72">
        <f t="shared" si="13"/>
        <v>791713730.29594862</v>
      </c>
      <c r="R11" s="75">
        <f t="shared" si="3"/>
        <v>4.4191557032150479</v>
      </c>
      <c r="U11">
        <f>U$20*$C11</f>
        <v>130563.91476149962</v>
      </c>
      <c r="V11" s="69">
        <f t="shared" si="16"/>
        <v>5312242.7891259026</v>
      </c>
      <c r="W11" s="69">
        <f t="shared" si="4"/>
        <v>111</v>
      </c>
      <c r="X11" s="72">
        <f t="shared" si="5"/>
        <v>589658949.59297514</v>
      </c>
      <c r="Y11" s="75">
        <f t="shared" si="6"/>
        <v>3.5634131448948092</v>
      </c>
      <c r="AB11">
        <f>AB$20*$C11</f>
        <v>125176.5263413963</v>
      </c>
      <c r="AC11" s="69">
        <f t="shared" si="17"/>
        <v>5093046.5790613331</v>
      </c>
      <c r="AD11" s="69">
        <f t="shared" si="7"/>
        <v>83</v>
      </c>
      <c r="AE11" s="72">
        <f t="shared" si="8"/>
        <v>422722866.06209064</v>
      </c>
      <c r="AF11" s="75">
        <f t="shared" si="9"/>
        <v>2.8803320358531157</v>
      </c>
      <c r="AI11">
        <f>AI$20*$C11</f>
        <v>119383.09293487259</v>
      </c>
      <c r="AJ11" s="69">
        <f t="shared" si="18"/>
        <v>4857329.651499033</v>
      </c>
      <c r="AK11" s="69">
        <f t="shared" si="10"/>
        <v>55</v>
      </c>
      <c r="AL11" s="72">
        <f t="shared" si="11"/>
        <v>267153130.83244681</v>
      </c>
      <c r="AM11" s="75">
        <f t="shared" si="12"/>
        <v>2.1121729614386875</v>
      </c>
    </row>
    <row r="12" spans="1:39" x14ac:dyDescent="0.25">
      <c r="B12" t="s">
        <v>19</v>
      </c>
      <c r="C12" s="14">
        <v>0.28458603597143833</v>
      </c>
      <c r="E12">
        <f>E$21*C12</f>
        <v>672904.67611348955</v>
      </c>
      <c r="F12" s="17">
        <v>77.270393898379339</v>
      </c>
      <c r="G12" s="17"/>
      <c r="H12" s="69">
        <f t="shared" si="14"/>
        <v>51995609.379350707</v>
      </c>
      <c r="I12" s="71">
        <v>167</v>
      </c>
      <c r="J12" s="72">
        <f t="shared" si="0"/>
        <v>8683266766.3515682</v>
      </c>
      <c r="K12" s="75">
        <f t="shared" si="1"/>
        <v>46.846887206298071</v>
      </c>
      <c r="N12">
        <f>N$21*$C12</f>
        <v>654352.95320764382</v>
      </c>
      <c r="O12" s="69">
        <f t="shared" si="15"/>
        <v>50562110.442922421</v>
      </c>
      <c r="P12" s="69">
        <f t="shared" si="2"/>
        <v>139</v>
      </c>
      <c r="Q12" s="72">
        <f t="shared" si="13"/>
        <v>7028133351.5662165</v>
      </c>
      <c r="R12" s="75">
        <f t="shared" si="3"/>
        <v>39.229350704729939</v>
      </c>
      <c r="U12">
        <f>U$21*$C12</f>
        <v>650112.39972157881</v>
      </c>
      <c r="V12" s="69">
        <f t="shared" si="16"/>
        <v>50234441.204707034</v>
      </c>
      <c r="W12" s="69">
        <f t="shared" si="4"/>
        <v>111</v>
      </c>
      <c r="X12" s="72">
        <f t="shared" si="5"/>
        <v>5576022973.7224808</v>
      </c>
      <c r="Y12" s="75">
        <f t="shared" si="6"/>
        <v>33.696891354762961</v>
      </c>
      <c r="AB12">
        <f>AB$21*$C12</f>
        <v>603512.72620956833</v>
      </c>
      <c r="AC12" s="69">
        <f t="shared" si="17"/>
        <v>46633666.076898105</v>
      </c>
      <c r="AD12" s="69">
        <f t="shared" si="7"/>
        <v>83</v>
      </c>
      <c r="AE12" s="72">
        <f t="shared" si="8"/>
        <v>3870594284.3825426</v>
      </c>
      <c r="AF12" s="75">
        <f t="shared" si="9"/>
        <v>26.373299412337602</v>
      </c>
      <c r="AI12">
        <f>AI$21*$C12</f>
        <v>563126.39405720588</v>
      </c>
      <c r="AJ12" s="69">
        <f t="shared" si="18"/>
        <v>43512998.28337428</v>
      </c>
      <c r="AK12" s="69">
        <f t="shared" si="10"/>
        <v>55</v>
      </c>
      <c r="AL12" s="72">
        <f t="shared" si="11"/>
        <v>2393214905.5855856</v>
      </c>
      <c r="AM12" s="75">
        <f t="shared" si="12"/>
        <v>18.921297305178271</v>
      </c>
    </row>
    <row r="13" spans="1:39" x14ac:dyDescent="0.25">
      <c r="B13" t="s">
        <v>20</v>
      </c>
      <c r="C13" s="14">
        <v>0.36693792141361981</v>
      </c>
      <c r="E13">
        <f>E$22*C13</f>
        <v>304548.90686700359</v>
      </c>
      <c r="F13" s="17">
        <v>77.089701347527978</v>
      </c>
      <c r="G13" s="17"/>
      <c r="H13" s="69">
        <f t="shared" si="14"/>
        <v>23477584.27609342</v>
      </c>
      <c r="I13" s="71">
        <v>167</v>
      </c>
      <c r="J13" s="72">
        <f t="shared" si="0"/>
        <v>3920756574.1076012</v>
      </c>
      <c r="K13" s="75">
        <f t="shared" si="1"/>
        <v>21.152781082613785</v>
      </c>
      <c r="N13">
        <f>N$22*$C13</f>
        <v>390917.05871976796</v>
      </c>
      <c r="O13" s="69">
        <f t="shared" si="15"/>
        <v>30135679.308360968</v>
      </c>
      <c r="P13" s="69">
        <f t="shared" si="2"/>
        <v>139</v>
      </c>
      <c r="Q13" s="72">
        <f t="shared" si="13"/>
        <v>4188859423.8621745</v>
      </c>
      <c r="R13" s="75">
        <f t="shared" si="3"/>
        <v>23.381206242320687</v>
      </c>
      <c r="U13">
        <f>U$22*$C13</f>
        <v>419119.11071946961</v>
      </c>
      <c r="V13" s="69">
        <f t="shared" si="16"/>
        <v>32309767.074405424</v>
      </c>
      <c r="W13" s="69">
        <f t="shared" si="4"/>
        <v>111</v>
      </c>
      <c r="X13" s="72">
        <f t="shared" si="5"/>
        <v>3586384145.2590022</v>
      </c>
      <c r="Y13" s="75">
        <f t="shared" si="6"/>
        <v>21.673152615897333</v>
      </c>
      <c r="AB13">
        <f>AB$22*$C13</f>
        <v>462987.56555772643</v>
      </c>
      <c r="AC13" s="69">
        <f t="shared" si="17"/>
        <v>35691573.156464159</v>
      </c>
      <c r="AD13" s="69">
        <f t="shared" si="7"/>
        <v>83</v>
      </c>
      <c r="AE13" s="72">
        <f t="shared" si="8"/>
        <v>2962400571.9865251</v>
      </c>
      <c r="AF13" s="75">
        <f t="shared" si="9"/>
        <v>20.185085680387768</v>
      </c>
      <c r="AI13">
        <f>AI$22*$C13</f>
        <v>483602.2580253536</v>
      </c>
      <c r="AJ13" s="69">
        <f t="shared" si="18"/>
        <v>37280753.642164677</v>
      </c>
      <c r="AK13" s="69">
        <f t="shared" si="10"/>
        <v>55</v>
      </c>
      <c r="AL13" s="72">
        <f t="shared" si="11"/>
        <v>2050441450.3190572</v>
      </c>
      <c r="AM13" s="75">
        <f t="shared" si="12"/>
        <v>16.211252987685505</v>
      </c>
    </row>
    <row r="14" spans="1:39" x14ac:dyDescent="0.25">
      <c r="A14" t="s">
        <v>5</v>
      </c>
      <c r="B14" t="s">
        <v>18</v>
      </c>
      <c r="C14" s="14">
        <v>0.17671494330301593</v>
      </c>
      <c r="E14">
        <f>E$20*C14</f>
        <v>87349.415748061278</v>
      </c>
      <c r="F14" s="17">
        <v>3.4834109840464751</v>
      </c>
      <c r="G14" s="17"/>
      <c r="H14" s="69">
        <f t="shared" si="14"/>
        <v>304273.91426683881</v>
      </c>
      <c r="I14" s="71">
        <v>0</v>
      </c>
      <c r="J14" s="72">
        <f t="shared" si="0"/>
        <v>0</v>
      </c>
      <c r="K14" s="75">
        <f t="shared" si="1"/>
        <v>0</v>
      </c>
      <c r="N14">
        <f>N$20*$C14</f>
        <v>82619.076541867078</v>
      </c>
      <c r="O14" s="69">
        <f t="shared" si="15"/>
        <v>287796.19871771627</v>
      </c>
      <c r="P14" s="69">
        <f t="shared" ref="P14:P19" si="19">I14+D38</f>
        <v>0</v>
      </c>
      <c r="Q14" s="72">
        <f t="shared" si="13"/>
        <v>0</v>
      </c>
      <c r="R14" s="75">
        <f t="shared" si="3"/>
        <v>0</v>
      </c>
      <c r="U14">
        <f>U$20*$C14</f>
        <v>77055.718723130034</v>
      </c>
      <c r="V14" s="69">
        <f t="shared" si="16"/>
        <v>268416.73698374681</v>
      </c>
      <c r="W14" s="69">
        <f t="shared" ref="W14:W19" si="20">P14+K38</f>
        <v>0</v>
      </c>
      <c r="X14" s="72">
        <f t="shared" si="5"/>
        <v>0</v>
      </c>
      <c r="Y14" s="75">
        <f t="shared" si="6"/>
        <v>0</v>
      </c>
      <c r="AB14">
        <f>AB$20*$C14</f>
        <v>73876.210146736281</v>
      </c>
      <c r="AC14" s="69">
        <f t="shared" si="17"/>
        <v>257341.20188486681</v>
      </c>
      <c r="AD14" s="69">
        <f t="shared" ref="AD14:AD19" si="21">W14+R38</f>
        <v>0</v>
      </c>
      <c r="AE14" s="72">
        <f t="shared" si="8"/>
        <v>0</v>
      </c>
      <c r="AF14" s="75">
        <f t="shared" si="9"/>
        <v>0</v>
      </c>
      <c r="AI14">
        <f>AI$20*$C14</f>
        <v>70457.063471870235</v>
      </c>
      <c r="AJ14" s="69">
        <f t="shared" si="18"/>
        <v>245430.90880157246</v>
      </c>
      <c r="AK14" s="69">
        <f t="shared" ref="AK14:AK19" si="22">AD14+Y38</f>
        <v>0</v>
      </c>
      <c r="AL14" s="72">
        <f t="shared" si="11"/>
        <v>0</v>
      </c>
      <c r="AM14" s="75">
        <f t="shared" si="12"/>
        <v>0</v>
      </c>
    </row>
    <row r="15" spans="1:39" x14ac:dyDescent="0.25">
      <c r="B15" t="s">
        <v>19</v>
      </c>
      <c r="C15" s="14">
        <v>0.16498955495387566</v>
      </c>
      <c r="E15">
        <f>E$21*C15</f>
        <v>390118.37899695442</v>
      </c>
      <c r="F15" s="17">
        <v>5.9683633822978219</v>
      </c>
      <c r="G15" s="17"/>
      <c r="H15" s="69">
        <f t="shared" si="14"/>
        <v>2328368.2479668064</v>
      </c>
      <c r="I15" s="71">
        <v>0</v>
      </c>
      <c r="J15" s="72">
        <f t="shared" si="0"/>
        <v>0</v>
      </c>
      <c r="K15" s="75">
        <f t="shared" si="1"/>
        <v>0</v>
      </c>
      <c r="N15">
        <f>N$21*$C15</f>
        <v>379362.9654524533</v>
      </c>
      <c r="O15" s="69">
        <f t="shared" si="15"/>
        <v>2264176.0316063361</v>
      </c>
      <c r="P15" s="69">
        <f t="shared" si="19"/>
        <v>0</v>
      </c>
      <c r="Q15" s="72">
        <f t="shared" si="13"/>
        <v>0</v>
      </c>
      <c r="R15" s="75">
        <f t="shared" si="3"/>
        <v>0</v>
      </c>
      <c r="U15">
        <f>U$21*$C15</f>
        <v>376904.49263935222</v>
      </c>
      <c r="V15" s="69">
        <f t="shared" si="16"/>
        <v>2249502.9724922488</v>
      </c>
      <c r="W15" s="69">
        <f t="shared" si="20"/>
        <v>0</v>
      </c>
      <c r="X15" s="72">
        <f t="shared" si="5"/>
        <v>0</v>
      </c>
      <c r="Y15" s="75">
        <f t="shared" si="6"/>
        <v>0</v>
      </c>
      <c r="AB15">
        <f>AB$21*$C15</f>
        <v>349888.20082623541</v>
      </c>
      <c r="AC15" s="69">
        <f t="shared" si="17"/>
        <v>2088259.9257093698</v>
      </c>
      <c r="AD15" s="69">
        <f t="shared" si="21"/>
        <v>0</v>
      </c>
      <c r="AE15" s="72">
        <f t="shared" si="8"/>
        <v>0</v>
      </c>
      <c r="AF15" s="75">
        <f t="shared" si="9"/>
        <v>0</v>
      </c>
      <c r="AI15">
        <f>AI$21*$C15</f>
        <v>326474.1111457902</v>
      </c>
      <c r="AJ15" s="69">
        <f t="shared" si="18"/>
        <v>1948516.1302307635</v>
      </c>
      <c r="AK15" s="69">
        <f t="shared" si="22"/>
        <v>0</v>
      </c>
      <c r="AL15" s="72">
        <f t="shared" si="11"/>
        <v>0</v>
      </c>
      <c r="AM15" s="75">
        <f t="shared" si="12"/>
        <v>0</v>
      </c>
    </row>
    <row r="16" spans="1:39" x14ac:dyDescent="0.25">
      <c r="B16" t="s">
        <v>20</v>
      </c>
      <c r="C16" s="14">
        <v>0.16582965201890887</v>
      </c>
      <c r="E16">
        <f>E$22*C16</f>
        <v>137634.28716751796</v>
      </c>
      <c r="F16" s="17">
        <v>6.2630820520011659</v>
      </c>
      <c r="G16" s="17"/>
      <c r="H16" s="69">
        <f t="shared" si="14"/>
        <v>862014.83369885618</v>
      </c>
      <c r="I16" s="71">
        <v>0</v>
      </c>
      <c r="J16" s="72">
        <f t="shared" si="0"/>
        <v>0</v>
      </c>
      <c r="K16" s="75">
        <f t="shared" si="1"/>
        <v>0</v>
      </c>
      <c r="N16">
        <f>N$22*$C16</f>
        <v>176666.50414875415</v>
      </c>
      <c r="O16" s="69">
        <f t="shared" si="15"/>
        <v>1106476.8113238516</v>
      </c>
      <c r="P16" s="69">
        <f t="shared" si="19"/>
        <v>0</v>
      </c>
      <c r="Q16" s="72">
        <f t="shared" si="13"/>
        <v>0</v>
      </c>
      <c r="R16" s="75">
        <f t="shared" si="3"/>
        <v>0</v>
      </c>
      <c r="U16">
        <f>U$22*$C16</f>
        <v>189411.81117865359</v>
      </c>
      <c r="V16" s="69">
        <f t="shared" si="16"/>
        <v>1186301.715030059</v>
      </c>
      <c r="W16" s="69">
        <f t="shared" si="20"/>
        <v>0</v>
      </c>
      <c r="X16" s="72">
        <f t="shared" si="5"/>
        <v>0</v>
      </c>
      <c r="Y16" s="75">
        <f t="shared" si="6"/>
        <v>0</v>
      </c>
      <c r="AB16">
        <f>AB$22*$C16</f>
        <v>209237.20990661762</v>
      </c>
      <c r="AC16" s="69">
        <f t="shared" si="17"/>
        <v>1310469.8139769374</v>
      </c>
      <c r="AD16" s="69">
        <f t="shared" si="21"/>
        <v>0</v>
      </c>
      <c r="AE16" s="72">
        <f t="shared" si="8"/>
        <v>0</v>
      </c>
      <c r="AF16" s="75">
        <f t="shared" si="9"/>
        <v>0</v>
      </c>
      <c r="AI16">
        <f>AI$22*$C16</f>
        <v>218553.57400769947</v>
      </c>
      <c r="AJ16" s="69">
        <f t="shared" si="18"/>
        <v>1368818.9667683311</v>
      </c>
      <c r="AK16" s="69">
        <f t="shared" si="22"/>
        <v>0</v>
      </c>
      <c r="AL16" s="72">
        <f t="shared" si="11"/>
        <v>0</v>
      </c>
      <c r="AM16" s="75">
        <f t="shared" si="12"/>
        <v>0</v>
      </c>
    </row>
    <row r="17" spans="1:39" x14ac:dyDescent="0.25">
      <c r="A17" t="s">
        <v>6</v>
      </c>
      <c r="B17" t="s">
        <v>18</v>
      </c>
      <c r="C17" s="14">
        <v>0.75599715579506344</v>
      </c>
      <c r="E17">
        <f>E$20*C17</f>
        <v>373686.0541140656</v>
      </c>
      <c r="F17" s="17">
        <v>1.1162087685427786</v>
      </c>
      <c r="G17" s="17"/>
      <c r="H17" s="69">
        <f t="shared" si="14"/>
        <v>417111.65028427128</v>
      </c>
      <c r="I17" s="71">
        <v>0</v>
      </c>
      <c r="J17" s="72">
        <f t="shared" si="0"/>
        <v>0</v>
      </c>
      <c r="K17" s="75">
        <f t="shared" si="1"/>
        <v>0</v>
      </c>
      <c r="N17">
        <f>N$20*$C17</f>
        <v>353449.37848841317</v>
      </c>
      <c r="O17" s="69">
        <f t="shared" si="15"/>
        <v>394523.29550476215</v>
      </c>
      <c r="P17" s="69">
        <f t="shared" si="19"/>
        <v>0</v>
      </c>
      <c r="Q17" s="72">
        <f t="shared" si="13"/>
        <v>0</v>
      </c>
      <c r="R17" s="75">
        <f t="shared" si="3"/>
        <v>0</v>
      </c>
      <c r="U17">
        <f>U$20*$C17</f>
        <v>329648.99913722533</v>
      </c>
      <c r="V17" s="69">
        <f t="shared" si="16"/>
        <v>367957.1033783218</v>
      </c>
      <c r="W17" s="69">
        <f t="shared" si="20"/>
        <v>0</v>
      </c>
      <c r="X17" s="72">
        <f t="shared" si="5"/>
        <v>0</v>
      </c>
      <c r="Y17" s="75">
        <f t="shared" si="6"/>
        <v>0</v>
      </c>
      <c r="AB17">
        <f>AB$20*$C17</f>
        <v>316046.87021902727</v>
      </c>
      <c r="AC17" s="69">
        <f t="shared" si="17"/>
        <v>352774.2878089798</v>
      </c>
      <c r="AD17" s="69">
        <f t="shared" si="21"/>
        <v>0</v>
      </c>
      <c r="AE17" s="72">
        <f t="shared" si="8"/>
        <v>0</v>
      </c>
      <c r="AF17" s="75">
        <f t="shared" si="9"/>
        <v>0</v>
      </c>
      <c r="AI17">
        <f>AI$20*$C17</f>
        <v>301419.55510276929</v>
      </c>
      <c r="AJ17" s="69">
        <f t="shared" si="18"/>
        <v>336447.15041597432</v>
      </c>
      <c r="AK17" s="69">
        <f t="shared" si="22"/>
        <v>0</v>
      </c>
      <c r="AL17" s="72">
        <f t="shared" si="11"/>
        <v>0</v>
      </c>
      <c r="AM17" s="75">
        <f t="shared" si="12"/>
        <v>0</v>
      </c>
    </row>
    <row r="18" spans="1:39" x14ac:dyDescent="0.25">
      <c r="B18" t="s">
        <v>19</v>
      </c>
      <c r="C18" s="14">
        <v>0.25062768682293074</v>
      </c>
      <c r="E18">
        <f>E$21*C18</f>
        <v>592610.04093532974</v>
      </c>
      <c r="F18" s="17">
        <v>0.92901620279483998</v>
      </c>
      <c r="G18" s="17"/>
      <c r="H18" s="69">
        <f t="shared" si="14"/>
        <v>550544.32996783475</v>
      </c>
      <c r="I18" s="71">
        <v>0</v>
      </c>
      <c r="J18" s="72">
        <f t="shared" si="0"/>
        <v>0</v>
      </c>
      <c r="K18" s="75">
        <f t="shared" si="1"/>
        <v>0</v>
      </c>
      <c r="N18">
        <f>N$21*$C18</f>
        <v>576272.01021431887</v>
      </c>
      <c r="O18" s="69">
        <f t="shared" si="15"/>
        <v>535366.03470625577</v>
      </c>
      <c r="P18" s="69">
        <f t="shared" si="19"/>
        <v>0</v>
      </c>
      <c r="Q18" s="72">
        <f t="shared" si="13"/>
        <v>0</v>
      </c>
      <c r="R18" s="75">
        <f t="shared" si="3"/>
        <v>0</v>
      </c>
      <c r="U18">
        <f>U$21*$C18</f>
        <v>572537.46256712487</v>
      </c>
      <c r="V18" s="69">
        <f t="shared" si="16"/>
        <v>531896.5794319032</v>
      </c>
      <c r="W18" s="69">
        <f t="shared" si="20"/>
        <v>0</v>
      </c>
      <c r="X18" s="72">
        <f t="shared" si="5"/>
        <v>0</v>
      </c>
      <c r="Y18" s="75">
        <f t="shared" si="6"/>
        <v>0</v>
      </c>
      <c r="AB18">
        <f>AB$21*$C18</f>
        <v>531498.31481290702</v>
      </c>
      <c r="AC18" s="69">
        <f t="shared" si="17"/>
        <v>493770.54621934332</v>
      </c>
      <c r="AD18" s="69">
        <f t="shared" si="21"/>
        <v>0</v>
      </c>
      <c r="AE18" s="72">
        <f t="shared" si="8"/>
        <v>0</v>
      </c>
      <c r="AF18" s="75">
        <f t="shared" si="9"/>
        <v>0</v>
      </c>
      <c r="AI18">
        <f>AI$21*$C18</f>
        <v>495931.09883177927</v>
      </c>
      <c r="AJ18" s="69">
        <f t="shared" si="18"/>
        <v>460728.02628457209</v>
      </c>
      <c r="AK18" s="69">
        <f t="shared" si="22"/>
        <v>0</v>
      </c>
      <c r="AL18" s="72">
        <f t="shared" si="11"/>
        <v>0</v>
      </c>
      <c r="AM18" s="75">
        <f t="shared" si="12"/>
        <v>0</v>
      </c>
    </row>
    <row r="19" spans="1:39" x14ac:dyDescent="0.25">
      <c r="B19" t="s">
        <v>20</v>
      </c>
      <c r="C19" s="14">
        <v>0.33397659459040341</v>
      </c>
      <c r="E19">
        <f>E$22*C19</f>
        <v>277191.86507033091</v>
      </c>
      <c r="F19" s="17">
        <v>1.1815909776529738</v>
      </c>
      <c r="G19" s="17"/>
      <c r="H19" s="69">
        <f t="shared" si="14"/>
        <v>327527.40684590349</v>
      </c>
      <c r="I19" s="71">
        <v>0</v>
      </c>
      <c r="J19" s="72">
        <f t="shared" si="0"/>
        <v>0</v>
      </c>
      <c r="K19" s="75">
        <f t="shared" si="1"/>
        <v>0</v>
      </c>
      <c r="N19">
        <f>N$22*$C19</f>
        <v>355801.73217190662</v>
      </c>
      <c r="O19" s="69">
        <f t="shared" si="15"/>
        <v>420412.11656762467</v>
      </c>
      <c r="P19" s="69">
        <f t="shared" si="19"/>
        <v>0</v>
      </c>
      <c r="Q19" s="72">
        <f t="shared" si="13"/>
        <v>0</v>
      </c>
      <c r="R19" s="75">
        <f t="shared" si="3"/>
        <v>0</v>
      </c>
      <c r="U19">
        <f>U$22*$C19</f>
        <v>381470.44815262628</v>
      </c>
      <c r="V19" s="69">
        <f t="shared" si="16"/>
        <v>450742.03977837978</v>
      </c>
      <c r="W19" s="69">
        <f t="shared" si="20"/>
        <v>0</v>
      </c>
      <c r="X19" s="72">
        <f t="shared" si="5"/>
        <v>0</v>
      </c>
      <c r="Y19" s="75">
        <f t="shared" si="6"/>
        <v>0</v>
      </c>
      <c r="AB19">
        <f>AB$22*$C19</f>
        <v>421398.28417562746</v>
      </c>
      <c r="AC19" s="69">
        <f t="shared" si="17"/>
        <v>497920.41058036534</v>
      </c>
      <c r="AD19" s="69">
        <f t="shared" si="21"/>
        <v>0</v>
      </c>
      <c r="AE19" s="72">
        <f t="shared" si="8"/>
        <v>0</v>
      </c>
      <c r="AF19" s="75">
        <f t="shared" si="9"/>
        <v>0</v>
      </c>
      <c r="AI19">
        <f>AI$22*$C19</f>
        <v>440161.19851912989</v>
      </c>
      <c r="AJ19" s="69">
        <f t="shared" si="18"/>
        <v>520090.50088312337</v>
      </c>
      <c r="AK19" s="69">
        <f t="shared" si="22"/>
        <v>0</v>
      </c>
      <c r="AL19" s="72">
        <f t="shared" si="11"/>
        <v>0</v>
      </c>
      <c r="AM19" s="75">
        <f t="shared" si="12"/>
        <v>0</v>
      </c>
    </row>
    <row r="20" spans="1:39" x14ac:dyDescent="0.25">
      <c r="A20" t="s">
        <v>24</v>
      </c>
      <c r="B20" t="s">
        <v>18</v>
      </c>
      <c r="C20" s="20">
        <v>5.2248436711756628E-2</v>
      </c>
      <c r="D20">
        <f>13.4/100</f>
        <v>0.13400000000000001</v>
      </c>
      <c r="E20" s="21">
        <f>D20*E$23</f>
        <v>494295.58200000005</v>
      </c>
      <c r="F20" s="24">
        <f>(F5+F8+F11+F14+F17)/5</f>
        <v>68.242015318756131</v>
      </c>
      <c r="G20" s="24"/>
      <c r="H20" s="70">
        <f>H5+H8+H11+H14+H17</f>
        <v>9247202.7969108447</v>
      </c>
      <c r="I20" s="24"/>
      <c r="J20" s="70">
        <f>J5+J8+J11+J14+J17</f>
        <v>1063925207.0018733</v>
      </c>
      <c r="K20" s="75">
        <f t="shared" si="1"/>
        <v>5.7399577266812374</v>
      </c>
      <c r="M20" s="80">
        <v>12.2</v>
      </c>
      <c r="N20" s="21">
        <f>M20*N$23/100</f>
        <v>467527.39184144052</v>
      </c>
      <c r="O20" s="70">
        <f>O5+O8+O11+O14+O17</f>
        <v>8746427.7709619515</v>
      </c>
      <c r="P20" s="70"/>
      <c r="Q20" s="70">
        <f>Q5+Q8+Q11+Q14+Q17</f>
        <v>854348368.50719428</v>
      </c>
      <c r="R20" s="75">
        <f t="shared" si="3"/>
        <v>4.7687671954479418</v>
      </c>
      <c r="T20">
        <v>11.3</v>
      </c>
      <c r="U20" s="21">
        <f>T20*U$23/100</f>
        <v>436045.290131471</v>
      </c>
      <c r="V20" s="70">
        <f>V5+V8+V11+V14+V17</f>
        <v>8157465.6406367356</v>
      </c>
      <c r="W20" s="70"/>
      <c r="X20" s="70">
        <f>X5+X8+X11+X14+X17</f>
        <v>655090579.79289436</v>
      </c>
      <c r="Y20" s="75">
        <f t="shared" si="6"/>
        <v>3.9588280390590236</v>
      </c>
      <c r="AA20">
        <v>11</v>
      </c>
      <c r="AB20" s="21">
        <f>AA20*AB$23/100</f>
        <v>418052.98842248769</v>
      </c>
      <c r="AC20" s="70">
        <f>AC5+AC8+AC11+AC14+AC17</f>
        <v>7820868.5340775792</v>
      </c>
      <c r="AD20" s="70"/>
      <c r="AE20" s="70">
        <f>AE5+AE8+AE11+AE14+AE17</f>
        <v>492179833.23387569</v>
      </c>
      <c r="AF20" s="75">
        <f t="shared" si="9"/>
        <v>3.3535951207715109</v>
      </c>
      <c r="AH20">
        <v>10.8</v>
      </c>
      <c r="AI20" s="21">
        <f>AH20*AI$23/100</f>
        <v>398704.61521217471</v>
      </c>
      <c r="AJ20" s="70">
        <f>AJ5+AJ8+AJ11+AJ14+AJ17</f>
        <v>7458902.2584694736</v>
      </c>
      <c r="AK20" s="70"/>
      <c r="AL20" s="70">
        <f>AL5+AL8+AL11+AL14+AL17</f>
        <v>339809433.50365102</v>
      </c>
      <c r="AM20" s="75">
        <f t="shared" si="12"/>
        <v>2.6866100923157785</v>
      </c>
    </row>
    <row r="21" spans="1:39" x14ac:dyDescent="0.25">
      <c r="B21" t="s">
        <v>19</v>
      </c>
      <c r="C21" s="20">
        <v>0.69545502539976767</v>
      </c>
      <c r="D21">
        <f>64.1/100</f>
        <v>0.6409999999999999</v>
      </c>
      <c r="E21" s="21">
        <f>D21*E$23</f>
        <v>2364503.4929999998</v>
      </c>
      <c r="F21" s="24">
        <f>(F6+F9+F12+F15+F18)/5</f>
        <v>100.43948307209855</v>
      </c>
      <c r="G21" s="24"/>
      <c r="H21" s="70">
        <f t="shared" ref="H21:J22" si="23">H6+H9+H12+H15+H18</f>
        <v>260045838.40254128</v>
      </c>
      <c r="I21" s="24"/>
      <c r="J21" s="70">
        <f t="shared" si="23"/>
        <v>12541244251.130484</v>
      </c>
      <c r="K21" s="75">
        <f t="shared" si="1"/>
        <v>67.660970308551327</v>
      </c>
      <c r="M21" s="80">
        <v>60</v>
      </c>
      <c r="N21" s="21">
        <f>M21*N$23/100</f>
        <v>2299315.0418431498</v>
      </c>
      <c r="O21" s="70">
        <f t="shared" ref="O21:Q22" si="24">O6+O9+O12+O15+O18</f>
        <v>252876474.73467964</v>
      </c>
      <c r="P21" s="70"/>
      <c r="Q21" s="70">
        <f t="shared" si="24"/>
        <v>11383637273.128881</v>
      </c>
      <c r="R21" s="75">
        <f t="shared" si="3"/>
        <v>63.540726469495624</v>
      </c>
      <c r="T21">
        <v>59.2</v>
      </c>
      <c r="U21" s="21">
        <f>T21*U$23/100</f>
        <v>2284414.2633436359</v>
      </c>
      <c r="V21" s="70">
        <f t="shared" ref="V21:X22" si="25">V6+V9+V12+V15+V18</f>
        <v>251237701.33077979</v>
      </c>
      <c r="W21" s="70"/>
      <c r="X21" s="70">
        <f t="shared" si="25"/>
        <v>10503276792.636347</v>
      </c>
      <c r="Y21" s="75">
        <f t="shared" si="6"/>
        <v>63.473156157782562</v>
      </c>
      <c r="AA21">
        <v>55.8</v>
      </c>
      <c r="AB21" s="21">
        <f>AA21*AB$23/100</f>
        <v>2120668.7958158921</v>
      </c>
      <c r="AC21" s="70">
        <f t="shared" ref="AC21:AE22" si="26">AC6+AC9+AC12+AC15+AC18</f>
        <v>233229131.02672729</v>
      </c>
      <c r="AD21" s="70"/>
      <c r="AE21" s="70">
        <f t="shared" si="26"/>
        <v>9001635406.2633724</v>
      </c>
      <c r="AF21" s="75">
        <f t="shared" si="9"/>
        <v>61.334980710321304</v>
      </c>
      <c r="AH21">
        <v>53.6</v>
      </c>
      <c r="AI21" s="21">
        <f>AH21*AI$23/100</f>
        <v>1978756.2384604227</v>
      </c>
      <c r="AJ21" s="70">
        <f t="shared" ref="AJ21:AL22" si="27">AJ6+AJ9+AJ12+AJ15+AJ18</f>
        <v>217621723.35462883</v>
      </c>
      <c r="AK21" s="70"/>
      <c r="AL21" s="70">
        <f t="shared" si="27"/>
        <v>7700591247.6047239</v>
      </c>
      <c r="AM21" s="75">
        <f t="shared" si="12"/>
        <v>60.88261279065145</v>
      </c>
    </row>
    <row r="22" spans="1:39" ht="15.75" thickBot="1" x14ac:dyDescent="0.3">
      <c r="B22" t="s">
        <v>20</v>
      </c>
      <c r="C22" s="20">
        <v>0.25229653788847567</v>
      </c>
      <c r="D22">
        <f>22.5/100</f>
        <v>0.22500000000000001</v>
      </c>
      <c r="E22" s="21">
        <f>D22*E$23</f>
        <v>829973.92500000005</v>
      </c>
      <c r="F22" s="24">
        <f>(F7+F10+F13+F16+F19)/5</f>
        <v>101.7848766663394</v>
      </c>
      <c r="G22" s="24"/>
      <c r="H22" s="70">
        <f t="shared" si="23"/>
        <v>73255059.552111879</v>
      </c>
      <c r="J22" s="70">
        <f t="shared" si="23"/>
        <v>4930249401.4246435</v>
      </c>
      <c r="K22" s="75">
        <f t="shared" si="1"/>
        <v>26.599071964767447</v>
      </c>
      <c r="M22" s="80">
        <v>27.8</v>
      </c>
      <c r="N22" s="21">
        <f>M22*N$23/100</f>
        <v>1065349.3027206594</v>
      </c>
      <c r="O22" s="70">
        <f t="shared" si="24"/>
        <v>94029733.060111225</v>
      </c>
      <c r="P22" s="70"/>
      <c r="Q22" s="70">
        <f t="shared" si="24"/>
        <v>5677511875.682827</v>
      </c>
      <c r="R22" s="75">
        <f t="shared" si="3"/>
        <v>31.690506335056444</v>
      </c>
      <c r="T22">
        <v>29.6</v>
      </c>
      <c r="U22" s="21">
        <f>T22*U$23/100</f>
        <v>1142207.131671818</v>
      </c>
      <c r="V22" s="70">
        <f t="shared" si="25"/>
        <v>100813349.58982709</v>
      </c>
      <c r="W22" s="70"/>
      <c r="X22" s="70">
        <f t="shared" si="25"/>
        <v>5389221290.9218245</v>
      </c>
      <c r="Y22" s="75">
        <f t="shared" si="6"/>
        <v>32.56801580315841</v>
      </c>
      <c r="AA22">
        <v>33.200000000000003</v>
      </c>
      <c r="AB22" s="21">
        <f>AA22*AB$23/100</f>
        <v>1261759.9286933267</v>
      </c>
      <c r="AC22" s="70">
        <f t="shared" si="26"/>
        <v>111365304.29784055</v>
      </c>
      <c r="AD22" s="70"/>
      <c r="AE22" s="70">
        <f t="shared" si="26"/>
        <v>5182370033.5969982</v>
      </c>
      <c r="AF22" s="75">
        <f t="shared" si="9"/>
        <v>35.311424168907187</v>
      </c>
      <c r="AH22">
        <v>35.700000000000003</v>
      </c>
      <c r="AI22" s="21">
        <f>AH22*AI$23/100</f>
        <v>1317940.2558402445</v>
      </c>
      <c r="AJ22" s="70">
        <f t="shared" si="27"/>
        <v>116323885.63014515</v>
      </c>
      <c r="AK22" s="70"/>
      <c r="AL22" s="70">
        <f t="shared" si="27"/>
        <v>4607859461.8714848</v>
      </c>
      <c r="AM22" s="75">
        <f t="shared" si="12"/>
        <v>36.43077711703279</v>
      </c>
    </row>
    <row r="23" spans="1:39" ht="15.75" thickBot="1" x14ac:dyDescent="0.3">
      <c r="B23" t="s">
        <v>24</v>
      </c>
      <c r="E23" s="25">
        <v>3688773</v>
      </c>
      <c r="F23" s="10">
        <f>AVERAGE(F20:F22)</f>
        <v>90.155458352398043</v>
      </c>
      <c r="H23" s="10">
        <f>SUM(H20:H22)</f>
        <v>342548100.75156397</v>
      </c>
      <c r="J23" s="10">
        <f>SUM(J20:J22)</f>
        <v>18535418859.556999</v>
      </c>
      <c r="K23" s="75">
        <f t="shared" si="1"/>
        <v>100</v>
      </c>
      <c r="N23" s="25">
        <v>3832191.7364052502</v>
      </c>
      <c r="O23" s="10">
        <f>SUM(O20:O22)</f>
        <v>355652635.5657528</v>
      </c>
      <c r="P23" s="10"/>
      <c r="Q23" s="10">
        <f>SUM(Q20:Q22)</f>
        <v>17915497517.318901</v>
      </c>
      <c r="R23" s="75">
        <f t="shared" si="3"/>
        <v>100</v>
      </c>
      <c r="U23" s="25">
        <v>3858807.877269655</v>
      </c>
      <c r="V23" s="10">
        <f>SUM(V20:V22)</f>
        <v>360208516.56124365</v>
      </c>
      <c r="W23" s="10"/>
      <c r="X23" s="10">
        <f>SUM(X20:X22)</f>
        <v>16547588663.351067</v>
      </c>
      <c r="Y23" s="75">
        <f t="shared" si="6"/>
        <v>100</v>
      </c>
      <c r="AB23" s="25">
        <v>3800481.7129317061</v>
      </c>
      <c r="AC23" s="10">
        <f>SUM(AC20:AC22)</f>
        <v>352415303.85864544</v>
      </c>
      <c r="AD23" s="10"/>
      <c r="AE23" s="10">
        <f>SUM(AE20:AE22)</f>
        <v>14676185273.094246</v>
      </c>
      <c r="AF23" s="75">
        <f t="shared" si="9"/>
        <v>100</v>
      </c>
      <c r="AI23" s="25">
        <v>3691709.4001127291</v>
      </c>
      <c r="AJ23" s="10">
        <f>SUM(AJ20:AJ22)</f>
        <v>341404511.24324346</v>
      </c>
      <c r="AK23" s="10"/>
      <c r="AL23" s="10">
        <f>SUM(AL20:AL22)</f>
        <v>12648260142.979858</v>
      </c>
      <c r="AM23" s="75">
        <f t="shared" si="12"/>
        <v>100</v>
      </c>
    </row>
    <row r="28" spans="1:39" x14ac:dyDescent="0.25">
      <c r="B28">
        <v>2003</v>
      </c>
      <c r="C28">
        <v>2013</v>
      </c>
      <c r="D28" t="s">
        <v>98</v>
      </c>
    </row>
    <row r="29" spans="1:39" x14ac:dyDescent="0.25">
      <c r="A29" t="s">
        <v>2</v>
      </c>
      <c r="B29" s="71">
        <v>18</v>
      </c>
      <c r="C29">
        <v>21</v>
      </c>
      <c r="D29">
        <f>(C29-B29)</f>
        <v>3</v>
      </c>
    </row>
    <row r="30" spans="1:39" x14ac:dyDescent="0.25">
      <c r="B30" s="71">
        <v>18</v>
      </c>
      <c r="C30">
        <v>21</v>
      </c>
      <c r="D30">
        <f t="shared" ref="D30:D43" si="28">(C30-B30)</f>
        <v>3</v>
      </c>
    </row>
    <row r="31" spans="1:39" x14ac:dyDescent="0.25">
      <c r="B31" s="71">
        <v>18</v>
      </c>
      <c r="C31">
        <v>21</v>
      </c>
      <c r="D31">
        <f t="shared" si="28"/>
        <v>3</v>
      </c>
    </row>
    <row r="32" spans="1:39" x14ac:dyDescent="0.25">
      <c r="A32" t="s">
        <v>3</v>
      </c>
      <c r="B32" s="71">
        <v>52</v>
      </c>
      <c r="C32">
        <v>56</v>
      </c>
      <c r="D32">
        <f t="shared" si="28"/>
        <v>4</v>
      </c>
    </row>
    <row r="33" spans="1:4" x14ac:dyDescent="0.25">
      <c r="B33" s="71">
        <v>52</v>
      </c>
      <c r="C33">
        <v>56</v>
      </c>
      <c r="D33">
        <f t="shared" si="28"/>
        <v>4</v>
      </c>
    </row>
    <row r="34" spans="1:4" x14ac:dyDescent="0.25">
      <c r="B34" s="71">
        <v>52</v>
      </c>
      <c r="C34">
        <v>56</v>
      </c>
      <c r="D34">
        <f t="shared" si="28"/>
        <v>4</v>
      </c>
    </row>
    <row r="35" spans="1:4" x14ac:dyDescent="0.25">
      <c r="A35" t="s">
        <v>4</v>
      </c>
      <c r="B35" s="71">
        <v>175</v>
      </c>
      <c r="C35">
        <v>147</v>
      </c>
      <c r="D35">
        <f t="shared" si="28"/>
        <v>-28</v>
      </c>
    </row>
    <row r="36" spans="1:4" x14ac:dyDescent="0.25">
      <c r="B36" s="71">
        <v>175</v>
      </c>
      <c r="C36">
        <v>147</v>
      </c>
      <c r="D36">
        <f t="shared" si="28"/>
        <v>-28</v>
      </c>
    </row>
    <row r="37" spans="1:4" x14ac:dyDescent="0.25">
      <c r="B37" s="71">
        <v>175</v>
      </c>
      <c r="C37">
        <v>147</v>
      </c>
      <c r="D37">
        <f t="shared" si="28"/>
        <v>-28</v>
      </c>
    </row>
    <row r="38" spans="1:4" x14ac:dyDescent="0.25">
      <c r="A38" t="s">
        <v>5</v>
      </c>
      <c r="B38" s="71">
        <v>0</v>
      </c>
      <c r="C38">
        <v>0</v>
      </c>
      <c r="D38">
        <f t="shared" si="28"/>
        <v>0</v>
      </c>
    </row>
    <row r="39" spans="1:4" x14ac:dyDescent="0.25">
      <c r="B39" s="71">
        <v>0</v>
      </c>
      <c r="C39">
        <v>0</v>
      </c>
      <c r="D39">
        <f t="shared" si="28"/>
        <v>0</v>
      </c>
    </row>
    <row r="40" spans="1:4" x14ac:dyDescent="0.25">
      <c r="B40" s="71">
        <v>0</v>
      </c>
      <c r="C40">
        <v>0</v>
      </c>
      <c r="D40">
        <f t="shared" si="28"/>
        <v>0</v>
      </c>
    </row>
    <row r="41" spans="1:4" x14ac:dyDescent="0.25">
      <c r="A41" t="s">
        <v>6</v>
      </c>
      <c r="B41" s="71">
        <v>0</v>
      </c>
      <c r="C41">
        <v>0</v>
      </c>
      <c r="D41">
        <f t="shared" si="28"/>
        <v>0</v>
      </c>
    </row>
    <row r="42" spans="1:4" x14ac:dyDescent="0.25">
      <c r="B42" s="71">
        <v>0</v>
      </c>
      <c r="C42">
        <v>0</v>
      </c>
      <c r="D42">
        <f t="shared" si="28"/>
        <v>0</v>
      </c>
    </row>
    <row r="43" spans="1:4" x14ac:dyDescent="0.25">
      <c r="B43" s="71">
        <v>0</v>
      </c>
      <c r="C43">
        <v>0</v>
      </c>
      <c r="D43">
        <f t="shared" si="28"/>
        <v>0</v>
      </c>
    </row>
  </sheetData>
  <mergeCells count="5">
    <mergeCell ref="E2:K2"/>
    <mergeCell ref="M2:R2"/>
    <mergeCell ref="T2:Y2"/>
    <mergeCell ref="AA2:AF2"/>
    <mergeCell ref="AH2:AM2"/>
  </mergeCell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43"/>
  <sheetViews>
    <sheetView topLeftCell="B19" zoomScaleNormal="100" workbookViewId="0">
      <selection activeCell="AL20" activeCellId="4" sqref="J20:K23 Q20:R23 X20:Y23 AE20:AF23 AL20:AM23"/>
    </sheetView>
  </sheetViews>
  <sheetFormatPr defaultRowHeight="15" x14ac:dyDescent="0.25"/>
  <cols>
    <col min="4" max="7" width="0" hidden="1" customWidth="1"/>
    <col min="8" max="8" width="11.85546875" hidden="1" customWidth="1"/>
    <col min="10" max="10" width="13.42578125" customWidth="1"/>
    <col min="12" max="14" width="0" hidden="1" customWidth="1"/>
    <col min="15" max="15" width="11.7109375" hidden="1" customWidth="1"/>
    <col min="16" max="16" width="11.7109375" customWidth="1"/>
    <col min="17" max="17" width="13.5703125" customWidth="1"/>
    <col min="19" max="22" width="0" hidden="1" customWidth="1"/>
    <col min="23" max="23" width="10.7109375" customWidth="1"/>
    <col min="24" max="24" width="15.7109375" customWidth="1"/>
    <col min="26" max="28" width="0" hidden="1" customWidth="1"/>
    <col min="29" max="29" width="12.5703125" hidden="1" customWidth="1"/>
    <col min="31" max="31" width="12.85546875" customWidth="1"/>
    <col min="33" max="36" width="0" hidden="1" customWidth="1"/>
    <col min="38" max="38" width="13.28515625" customWidth="1"/>
  </cols>
  <sheetData>
    <row r="1" spans="1:39" x14ac:dyDescent="0.25">
      <c r="A1" t="s">
        <v>88</v>
      </c>
    </row>
    <row r="2" spans="1:39" ht="21" x14ac:dyDescent="0.35">
      <c r="A2" t="s">
        <v>97</v>
      </c>
      <c r="E2" s="106">
        <v>2010</v>
      </c>
      <c r="F2" s="106"/>
      <c r="G2" s="106"/>
      <c r="H2" s="106"/>
      <c r="I2" s="106"/>
      <c r="J2" s="106"/>
      <c r="K2" s="106"/>
      <c r="M2" s="107">
        <v>2020</v>
      </c>
      <c r="N2" s="107"/>
      <c r="O2" s="107"/>
      <c r="P2" s="107"/>
      <c r="Q2" s="107"/>
      <c r="R2" s="107"/>
      <c r="T2" s="107">
        <v>2030</v>
      </c>
      <c r="U2" s="107"/>
      <c r="V2" s="107"/>
      <c r="W2" s="107"/>
      <c r="X2" s="107"/>
      <c r="Y2" s="107"/>
      <c r="AA2" s="107">
        <v>2040</v>
      </c>
      <c r="AB2" s="107"/>
      <c r="AC2" s="107"/>
      <c r="AD2" s="107"/>
      <c r="AE2" s="107"/>
      <c r="AF2" s="107"/>
      <c r="AH2" s="107">
        <v>2050</v>
      </c>
      <c r="AI2" s="107"/>
      <c r="AJ2" s="107"/>
      <c r="AK2" s="107"/>
      <c r="AL2" s="107"/>
      <c r="AM2" s="107"/>
    </row>
    <row r="3" spans="1:39" ht="21" x14ac:dyDescent="0.35">
      <c r="A3" t="s">
        <v>99</v>
      </c>
      <c r="E3" s="82"/>
      <c r="F3" s="82"/>
      <c r="G3" s="82"/>
      <c r="H3" s="82"/>
      <c r="I3" s="82"/>
      <c r="J3" s="82"/>
      <c r="K3" s="82"/>
      <c r="M3" s="84"/>
      <c r="N3" s="84"/>
      <c r="O3" s="84"/>
      <c r="P3" s="84"/>
      <c r="Q3" s="84"/>
      <c r="R3" s="84"/>
      <c r="T3" s="84"/>
      <c r="U3" s="84"/>
      <c r="V3" s="84"/>
      <c r="W3" s="84"/>
      <c r="X3" s="84"/>
      <c r="Y3" s="84"/>
      <c r="AA3" s="84"/>
      <c r="AB3" s="84"/>
      <c r="AC3" s="84"/>
      <c r="AD3" s="84"/>
      <c r="AE3" s="84"/>
      <c r="AF3" s="84"/>
      <c r="AH3" s="84"/>
      <c r="AI3" s="84"/>
      <c r="AJ3" s="84"/>
      <c r="AK3" s="84"/>
      <c r="AL3" s="84"/>
      <c r="AM3" s="84"/>
    </row>
    <row r="4" spans="1:39" ht="60" x14ac:dyDescent="0.25">
      <c r="A4" s="11" t="s">
        <v>1</v>
      </c>
      <c r="B4" s="11" t="s">
        <v>21</v>
      </c>
      <c r="C4" s="12" t="s">
        <v>29</v>
      </c>
      <c r="D4" s="11" t="s">
        <v>30</v>
      </c>
      <c r="E4" s="11" t="s">
        <v>31</v>
      </c>
      <c r="F4" s="16" t="s">
        <v>32</v>
      </c>
      <c r="G4" s="16" t="s">
        <v>32</v>
      </c>
      <c r="H4" s="16" t="s">
        <v>43</v>
      </c>
      <c r="I4" s="16" t="s">
        <v>86</v>
      </c>
      <c r="J4" s="16" t="s">
        <v>87</v>
      </c>
      <c r="K4" s="74" t="s">
        <v>92</v>
      </c>
      <c r="M4" s="11" t="s">
        <v>30</v>
      </c>
      <c r="N4" s="11" t="s">
        <v>31</v>
      </c>
      <c r="O4" s="16" t="s">
        <v>43</v>
      </c>
      <c r="P4" s="16" t="s">
        <v>86</v>
      </c>
      <c r="Q4" s="16" t="s">
        <v>87</v>
      </c>
      <c r="R4" s="74" t="s">
        <v>93</v>
      </c>
      <c r="T4" s="11" t="s">
        <v>30</v>
      </c>
      <c r="U4" s="11" t="s">
        <v>31</v>
      </c>
      <c r="V4" s="16" t="s">
        <v>43</v>
      </c>
      <c r="W4" s="16" t="s">
        <v>86</v>
      </c>
      <c r="X4" s="16" t="s">
        <v>87</v>
      </c>
      <c r="Y4" s="74" t="s">
        <v>94</v>
      </c>
      <c r="AA4" s="11" t="s">
        <v>30</v>
      </c>
      <c r="AB4" s="11" t="s">
        <v>31</v>
      </c>
      <c r="AC4" s="16" t="s">
        <v>43</v>
      </c>
      <c r="AD4" s="16" t="s">
        <v>86</v>
      </c>
      <c r="AE4" s="16" t="s">
        <v>87</v>
      </c>
      <c r="AF4" s="74" t="s">
        <v>95</v>
      </c>
      <c r="AH4" s="11" t="s">
        <v>30</v>
      </c>
      <c r="AI4" s="11" t="s">
        <v>31</v>
      </c>
      <c r="AJ4" s="16" t="s">
        <v>43</v>
      </c>
      <c r="AK4" s="16" t="s">
        <v>86</v>
      </c>
      <c r="AL4" s="16" t="s">
        <v>87</v>
      </c>
      <c r="AM4" s="74" t="s">
        <v>96</v>
      </c>
    </row>
    <row r="5" spans="1:39" x14ac:dyDescent="0.25">
      <c r="A5" t="s">
        <v>2</v>
      </c>
      <c r="B5" t="s">
        <v>18</v>
      </c>
      <c r="C5" s="14">
        <v>3.4242730436734301E-2</v>
      </c>
      <c r="E5">
        <f>E$20*$C5</f>
        <v>16926.030370494696</v>
      </c>
      <c r="F5" s="17">
        <v>243.88196721312318</v>
      </c>
      <c r="G5" s="17">
        <f>F5*80/160</f>
        <v>121.94098360656157</v>
      </c>
      <c r="H5" s="69">
        <f>$G5*E5</f>
        <v>2063976.7919326571</v>
      </c>
      <c r="I5" s="71">
        <v>18</v>
      </c>
      <c r="J5" s="72">
        <f>H5*$I5</f>
        <v>37151582.254787825</v>
      </c>
      <c r="K5" s="75">
        <f>J5/J$23*100</f>
        <v>0.2004356229351256</v>
      </c>
      <c r="N5">
        <f>N$20*$C5</f>
        <v>16009.414450615899</v>
      </c>
      <c r="O5" s="69">
        <f>$G5*N5</f>
        <v>1952203.7450732032</v>
      </c>
      <c r="P5">
        <v>21</v>
      </c>
      <c r="Q5" s="72">
        <f>O5*$P5</f>
        <v>40996278.646537267</v>
      </c>
      <c r="R5" s="75">
        <f>Q5/Q$23*100</f>
        <v>0.22824363033894496</v>
      </c>
      <c r="U5">
        <f>U$20*$C5</f>
        <v>14931.381328179561</v>
      </c>
      <c r="V5" s="69">
        <f>$G5*U5</f>
        <v>1820747.3257628635</v>
      </c>
      <c r="W5" s="69">
        <f t="shared" ref="W5:W10" si="0">P5</f>
        <v>21</v>
      </c>
      <c r="X5" s="72">
        <f>V5*$W5</f>
        <v>38235693.841020137</v>
      </c>
      <c r="Y5" s="75">
        <f>X5/X$23*100</f>
        <v>0.24228392123322814</v>
      </c>
      <c r="AB5">
        <f>AB$20*$C5</f>
        <v>14315.275790822452</v>
      </c>
      <c r="AC5" s="69">
        <f>$G5*AB5</f>
        <v>1745618.8105320884</v>
      </c>
      <c r="AD5" s="69">
        <f t="shared" ref="AD5:AD10" si="1">W5</f>
        <v>21</v>
      </c>
      <c r="AE5" s="72">
        <f>AC5*$AD5</f>
        <v>36657995.021173857</v>
      </c>
      <c r="AF5" s="75">
        <f>AE5/AE$23*100</f>
        <v>0.27896992295821016</v>
      </c>
      <c r="AI5">
        <f>AI$20*$C5</f>
        <v>13652.734662592373</v>
      </c>
      <c r="AJ5" s="69">
        <f>$G5*AI5</f>
        <v>1664827.8936759115</v>
      </c>
      <c r="AK5" s="69">
        <f t="shared" ref="AK5:AK10" si="2">AD5</f>
        <v>21</v>
      </c>
      <c r="AL5" s="72">
        <f>AJ5*$AK5</f>
        <v>34961385.767194144</v>
      </c>
      <c r="AM5" s="75">
        <f>AL5/AL$23*100</f>
        <v>0.33608653877776079</v>
      </c>
    </row>
    <row r="6" spans="1:39" x14ac:dyDescent="0.25">
      <c r="B6" t="s">
        <v>19</v>
      </c>
      <c r="C6" s="14">
        <v>0.4751272946065358</v>
      </c>
      <c r="E6">
        <f>E$21*$C6</f>
        <v>1123440.1477167939</v>
      </c>
      <c r="F6" s="17">
        <v>355.47039550898205</v>
      </c>
      <c r="G6" s="17">
        <f>F6*80/160</f>
        <v>177.73519775449103</v>
      </c>
      <c r="H6" s="69">
        <f>$G6*E6</f>
        <v>199674856.81977898</v>
      </c>
      <c r="I6" s="71">
        <v>18</v>
      </c>
      <c r="J6" s="72">
        <f t="shared" ref="J6:J19" si="3">H6*I6</f>
        <v>3594147422.7560215</v>
      </c>
      <c r="K6" s="75">
        <f t="shared" ref="K6:K23" si="4">J6/J$23*100</f>
        <v>19.390699773168883</v>
      </c>
      <c r="N6">
        <f>N$21*$C6</f>
        <v>1092467.3352790494</v>
      </c>
      <c r="O6" s="69">
        <f>$G6*N6</f>
        <v>194169897.87614369</v>
      </c>
      <c r="P6">
        <v>21</v>
      </c>
      <c r="Q6" s="72">
        <f>O6*$P6</f>
        <v>4077567855.3990173</v>
      </c>
      <c r="R6" s="75">
        <f t="shared" ref="R6:R23" si="5">Q6/Q$23*100</f>
        <v>22.701545627929022</v>
      </c>
      <c r="U6">
        <f>U$21*$C6</f>
        <v>1085387.5687030442</v>
      </c>
      <c r="V6" s="69">
        <f>$G6*U6</f>
        <v>192911574.16370177</v>
      </c>
      <c r="W6" s="69">
        <f t="shared" si="0"/>
        <v>21</v>
      </c>
      <c r="X6" s="72">
        <f t="shared" ref="X6:X19" si="6">V6*$W6</f>
        <v>4051143057.4377375</v>
      </c>
      <c r="Y6" s="75">
        <f t="shared" ref="Y6:Y23" si="7">X6/X$23*100</f>
        <v>25.670433221739504</v>
      </c>
      <c r="AB6">
        <f>AB$21*$C6</f>
        <v>1007587.6277125048</v>
      </c>
      <c r="AC6" s="69">
        <f>$G6*AB6</f>
        <v>179083786.26646054</v>
      </c>
      <c r="AD6" s="69">
        <f t="shared" si="1"/>
        <v>21</v>
      </c>
      <c r="AE6" s="72">
        <f t="shared" ref="AE6:AE19" si="8">AC6*$AD6</f>
        <v>3760759511.5956712</v>
      </c>
      <c r="AF6" s="75">
        <f t="shared" ref="AF6:AF23" si="9">AE6/AE$23*100</f>
        <v>28.61964465345724</v>
      </c>
      <c r="AI6">
        <f>AI$21*$C6</f>
        <v>940161.09826550586</v>
      </c>
      <c r="AJ6" s="69">
        <f>$G6*AI6</f>
        <v>167099718.72129914</v>
      </c>
      <c r="AK6" s="69">
        <f t="shared" si="2"/>
        <v>21</v>
      </c>
      <c r="AL6" s="72">
        <f t="shared" ref="AL6:AL19" si="10">AJ6*$AK6</f>
        <v>3509094093.1472821</v>
      </c>
      <c r="AM6" s="75">
        <f t="shared" ref="AM6:AM23" si="11">AL6/AL$23*100</f>
        <v>33.733196271584916</v>
      </c>
    </row>
    <row r="7" spans="1:39" x14ac:dyDescent="0.25">
      <c r="B7" t="s">
        <v>20</v>
      </c>
      <c r="C7" s="14">
        <v>0.29173060528559069</v>
      </c>
      <c r="E7">
        <f>E$22*$C7</f>
        <v>242128.79551150746</v>
      </c>
      <c r="F7" s="17">
        <v>364.19403857394053</v>
      </c>
      <c r="G7" s="17">
        <f>F7*80/160</f>
        <v>182.09701928697027</v>
      </c>
      <c r="H7" s="69">
        <f>$G7*E7</f>
        <v>44090931.946189851</v>
      </c>
      <c r="I7" s="71">
        <v>18</v>
      </c>
      <c r="J7" s="72">
        <f t="shared" si="3"/>
        <v>793636775.03141737</v>
      </c>
      <c r="K7" s="75">
        <f t="shared" si="4"/>
        <v>4.2817309986076326</v>
      </c>
      <c r="N7">
        <f>N$22*$C7</f>
        <v>310794.99692327995</v>
      </c>
      <c r="O7" s="69">
        <f>$G7*N7</f>
        <v>56594842.549032375</v>
      </c>
      <c r="P7">
        <v>21</v>
      </c>
      <c r="Q7" s="72">
        <f>O7*$P7</f>
        <v>1188491693.5296798</v>
      </c>
      <c r="R7" s="75">
        <f t="shared" si="5"/>
        <v>6.6168361547568724</v>
      </c>
      <c r="U7">
        <f>U$22*$C7</f>
        <v>333216.77788413787</v>
      </c>
      <c r="V7" s="69">
        <f>$G7*U7</f>
        <v>60677782.02910994</v>
      </c>
      <c r="W7" s="69">
        <f t="shared" si="0"/>
        <v>21</v>
      </c>
      <c r="X7" s="72">
        <f t="shared" si="6"/>
        <v>1274233422.6113088</v>
      </c>
      <c r="Y7" s="75">
        <f t="shared" si="7"/>
        <v>8.0742949632444336</v>
      </c>
      <c r="AB7">
        <f>AB$22*$C7</f>
        <v>368093.98772280791</v>
      </c>
      <c r="AC7" s="69">
        <f>$G7*AB7</f>
        <v>67028817.981777951</v>
      </c>
      <c r="AD7" s="69">
        <f t="shared" si="1"/>
        <v>21</v>
      </c>
      <c r="AE7" s="72">
        <f t="shared" si="8"/>
        <v>1407605177.617337</v>
      </c>
      <c r="AF7" s="75">
        <f t="shared" si="9"/>
        <v>10.711974501842569</v>
      </c>
      <c r="AI7">
        <f>AI$22*$C7</f>
        <v>384483.50856652076</v>
      </c>
      <c r="AJ7" s="69">
        <f>$G7*AI7</f>
        <v>70013300.874959722</v>
      </c>
      <c r="AK7" s="69">
        <f t="shared" si="2"/>
        <v>21</v>
      </c>
      <c r="AL7" s="72">
        <f t="shared" si="10"/>
        <v>1470279318.3741541</v>
      </c>
      <c r="AM7" s="75">
        <f t="shared" si="11"/>
        <v>14.13391020708824</v>
      </c>
    </row>
    <row r="8" spans="1:39" x14ac:dyDescent="0.25">
      <c r="A8" t="s">
        <v>3</v>
      </c>
      <c r="B8" t="s">
        <v>18</v>
      </c>
      <c r="C8" s="14">
        <v>1.7102653343812824E-2</v>
      </c>
      <c r="E8">
        <f>E$20*C8</f>
        <v>8453.7659883242068</v>
      </c>
      <c r="F8" s="17">
        <v>52.04157549233819</v>
      </c>
      <c r="G8" s="17"/>
      <c r="H8" s="69">
        <f>$F8*E8</f>
        <v>439947.30087593518</v>
      </c>
      <c r="I8" s="71">
        <v>48</v>
      </c>
      <c r="J8" s="72">
        <f t="shared" si="3"/>
        <v>21117470.442044888</v>
      </c>
      <c r="K8" s="75">
        <f t="shared" si="4"/>
        <v>0.11393036543739374</v>
      </c>
      <c r="N8">
        <f>N$20*$C8</f>
        <v>7995.9589114011014</v>
      </c>
      <c r="O8" s="69">
        <f>$F8*N8</f>
        <v>416122.29932131473</v>
      </c>
      <c r="P8">
        <v>56</v>
      </c>
      <c r="Q8" s="72">
        <f t="shared" ref="Q8:Q19" si="12">O8*$P8</f>
        <v>23302848.761993624</v>
      </c>
      <c r="R8" s="75">
        <f t="shared" si="5"/>
        <v>0.12973681939607115</v>
      </c>
      <c r="U8">
        <f>U$20*$C8</f>
        <v>7457.5314393208355</v>
      </c>
      <c r="V8" s="69">
        <f>$F8*U8</f>
        <v>388101.68538590072</v>
      </c>
      <c r="W8" s="69">
        <f t="shared" si="0"/>
        <v>56</v>
      </c>
      <c r="X8" s="72">
        <f t="shared" si="6"/>
        <v>21733694.381610442</v>
      </c>
      <c r="Y8" s="75">
        <f t="shared" si="7"/>
        <v>0.13771751389043621</v>
      </c>
      <c r="AB8">
        <f>AB$20*$C8</f>
        <v>7149.8153403348033</v>
      </c>
      <c r="AC8" s="69">
        <f>$F8*AB8</f>
        <v>372087.65479031135</v>
      </c>
      <c r="AD8" s="69">
        <f t="shared" si="1"/>
        <v>56</v>
      </c>
      <c r="AE8" s="72">
        <f t="shared" si="8"/>
        <v>20836908.668257438</v>
      </c>
      <c r="AF8" s="75">
        <f t="shared" si="9"/>
        <v>0.15857034195442202</v>
      </c>
      <c r="AI8">
        <f>AI$20*$C8</f>
        <v>6818.9068205521053</v>
      </c>
      <c r="AJ8" s="69">
        <f>$F8*AI8</f>
        <v>354866.65407698217</v>
      </c>
      <c r="AK8" s="69">
        <f t="shared" si="2"/>
        <v>56</v>
      </c>
      <c r="AL8" s="72">
        <f t="shared" si="10"/>
        <v>19872532.628311001</v>
      </c>
      <c r="AM8" s="75">
        <f t="shared" si="11"/>
        <v>0.19103621213047761</v>
      </c>
    </row>
    <row r="9" spans="1:39" x14ac:dyDescent="0.25">
      <c r="B9" t="s">
        <v>19</v>
      </c>
      <c r="C9" s="14">
        <v>3.7157935282887841E-2</v>
      </c>
      <c r="E9">
        <f>E$21*C9</f>
        <v>87860.06776905623</v>
      </c>
      <c r="F9" s="17">
        <v>62.559246368038707</v>
      </c>
      <c r="G9" s="17"/>
      <c r="H9" s="69">
        <f t="shared" ref="H9:H19" si="13">$F9*E9</f>
        <v>5496459.6254769657</v>
      </c>
      <c r="I9" s="71">
        <v>48</v>
      </c>
      <c r="J9" s="72">
        <f t="shared" si="3"/>
        <v>263830062.02289435</v>
      </c>
      <c r="K9" s="75">
        <f t="shared" si="4"/>
        <v>1.4233833290843687</v>
      </c>
      <c r="N9">
        <f>N$21*$C9</f>
        <v>85437.799519778302</v>
      </c>
      <c r="O9" s="69">
        <f t="shared" ref="O9:O19" si="14">$F9*N9</f>
        <v>5344924.3493009098</v>
      </c>
      <c r="P9">
        <v>56</v>
      </c>
      <c r="Q9" s="72">
        <f t="shared" si="12"/>
        <v>299315763.56085098</v>
      </c>
      <c r="R9" s="75">
        <f t="shared" si="5"/>
        <v>1.6664175078381729</v>
      </c>
      <c r="U9">
        <f>U$21*$C9</f>
        <v>84884.117356628733</v>
      </c>
      <c r="V9" s="69">
        <f t="shared" ref="V9:V19" si="15">$F9*U9</f>
        <v>5310286.4104468478</v>
      </c>
      <c r="W9" s="69">
        <f t="shared" si="0"/>
        <v>56</v>
      </c>
      <c r="X9" s="72">
        <f t="shared" si="6"/>
        <v>297376038.9850235</v>
      </c>
      <c r="Y9" s="75">
        <f t="shared" si="7"/>
        <v>1.8843500815146845</v>
      </c>
      <c r="AB9">
        <f>AB$21*$C9</f>
        <v>78799.673871366613</v>
      </c>
      <c r="AC9" s="69">
        <f t="shared" ref="AC9:AC19" si="16">$F9*AB9</f>
        <v>4929648.2114399262</v>
      </c>
      <c r="AD9" s="69">
        <f t="shared" si="1"/>
        <v>56</v>
      </c>
      <c r="AE9" s="72">
        <f t="shared" si="8"/>
        <v>276060299.8406359</v>
      </c>
      <c r="AF9" s="75">
        <f t="shared" si="9"/>
        <v>2.1008383173678684</v>
      </c>
      <c r="AI9">
        <f>AI$21*$C9</f>
        <v>73526.496249322969</v>
      </c>
      <c r="AJ9" s="69">
        <f t="shared" ref="AJ9:AJ19" si="17">$F9*AI9</f>
        <v>4599762.1934400694</v>
      </c>
      <c r="AK9" s="69">
        <f t="shared" si="2"/>
        <v>56</v>
      </c>
      <c r="AL9" s="72">
        <f t="shared" si="10"/>
        <v>257586682.8326439</v>
      </c>
      <c r="AM9" s="75">
        <f t="shared" si="11"/>
        <v>2.476200950527025</v>
      </c>
    </row>
    <row r="10" spans="1:39" x14ac:dyDescent="0.25">
      <c r="B10" t="s">
        <v>20</v>
      </c>
      <c r="C10" s="14">
        <v>9.0010075176316123E-2</v>
      </c>
      <c r="E10">
        <f>E$22*C10</f>
        <v>74706.01538363217</v>
      </c>
      <c r="F10" s="17">
        <v>60.195970380574359</v>
      </c>
      <c r="G10" s="17"/>
      <c r="H10" s="69">
        <f t="shared" si="13"/>
        <v>4497001.0892838547</v>
      </c>
      <c r="I10" s="71">
        <v>48</v>
      </c>
      <c r="J10" s="72">
        <f t="shared" si="3"/>
        <v>215856052.28562504</v>
      </c>
      <c r="K10" s="75">
        <f t="shared" si="4"/>
        <v>1.1645598835460256</v>
      </c>
      <c r="N10">
        <f>N$22*$C10</f>
        <v>95892.17082692252</v>
      </c>
      <c r="O10" s="69">
        <f t="shared" si="14"/>
        <v>5772322.2748264046</v>
      </c>
      <c r="P10">
        <v>56</v>
      </c>
      <c r="Q10" s="72">
        <f t="shared" si="12"/>
        <v>323250047.39027864</v>
      </c>
      <c r="R10" s="75">
        <f t="shared" si="5"/>
        <v>1.7996697934392873</v>
      </c>
      <c r="U10">
        <f>U$22*$C10</f>
        <v>102810.14978870474</v>
      </c>
      <c r="V10" s="69">
        <f t="shared" si="15"/>
        <v>6188756.7315032836</v>
      </c>
      <c r="W10" s="69">
        <f t="shared" si="0"/>
        <v>56</v>
      </c>
      <c r="X10" s="72">
        <f t="shared" si="6"/>
        <v>346570376.96418387</v>
      </c>
      <c r="Y10" s="75">
        <f t="shared" si="7"/>
        <v>2.1960744393260425</v>
      </c>
      <c r="AB10">
        <f>AB$22*$C10</f>
        <v>113571.10603614961</v>
      </c>
      <c r="AC10" s="69">
        <f t="shared" si="16"/>
        <v>6836522.9350411315</v>
      </c>
      <c r="AD10" s="69">
        <f t="shared" si="1"/>
        <v>56</v>
      </c>
      <c r="AE10" s="72">
        <f t="shared" si="8"/>
        <v>382845284.36230338</v>
      </c>
      <c r="AF10" s="75">
        <f t="shared" si="9"/>
        <v>2.9134795676025442</v>
      </c>
      <c r="AI10">
        <f>AI$22*$C10</f>
        <v>118627.90150607371</v>
      </c>
      <c r="AJ10" s="69">
        <f t="shared" si="17"/>
        <v>7140921.6453693053</v>
      </c>
      <c r="AK10" s="69">
        <f t="shared" si="2"/>
        <v>56</v>
      </c>
      <c r="AL10" s="72">
        <f t="shared" si="10"/>
        <v>399891612.14068109</v>
      </c>
      <c r="AM10" s="75">
        <f t="shared" si="11"/>
        <v>3.8441893781204812</v>
      </c>
    </row>
    <row r="11" spans="1:39" x14ac:dyDescent="0.25">
      <c r="A11" t="s">
        <v>4</v>
      </c>
      <c r="B11" t="s">
        <v>18</v>
      </c>
      <c r="C11" s="14">
        <v>0.29942741663861017</v>
      </c>
      <c r="E11">
        <f>E$20*C11</f>
        <v>148005.64917413832</v>
      </c>
      <c r="F11" s="17">
        <v>40.686914135729978</v>
      </c>
      <c r="G11" s="17"/>
      <c r="H11" s="69">
        <f t="shared" si="13"/>
        <v>6021893.1395511404</v>
      </c>
      <c r="I11" s="71">
        <v>167</v>
      </c>
      <c r="J11" s="72">
        <f t="shared" si="3"/>
        <v>1005656154.3050405</v>
      </c>
      <c r="K11" s="75">
        <f t="shared" si="4"/>
        <v>5.4255917383087171</v>
      </c>
      <c r="N11">
        <f>N$20*$C11</f>
        <v>139990.51914686977</v>
      </c>
      <c r="O11" s="69">
        <f t="shared" si="14"/>
        <v>5695782.2323449543</v>
      </c>
      <c r="P11" s="69">
        <f>I11+$D35</f>
        <v>139</v>
      </c>
      <c r="Q11" s="72">
        <f t="shared" si="12"/>
        <v>791713730.29594862</v>
      </c>
      <c r="R11" s="75">
        <f t="shared" si="5"/>
        <v>4.4078053413074541</v>
      </c>
      <c r="U11">
        <f>U$20*$C11</f>
        <v>130563.91476149962</v>
      </c>
      <c r="V11" s="69">
        <f t="shared" si="15"/>
        <v>5312242.7891259026</v>
      </c>
      <c r="W11" s="69">
        <f>P11+$D35</f>
        <v>111</v>
      </c>
      <c r="X11" s="72">
        <f t="shared" si="6"/>
        <v>589658949.59297514</v>
      </c>
      <c r="Y11" s="75">
        <f t="shared" si="7"/>
        <v>3.7364270958876569</v>
      </c>
      <c r="AB11">
        <f>AB$20*$C11</f>
        <v>125176.5263413963</v>
      </c>
      <c r="AC11" s="69">
        <f t="shared" si="16"/>
        <v>5093046.5790613331</v>
      </c>
      <c r="AD11" s="69">
        <f>W11+$D35</f>
        <v>83</v>
      </c>
      <c r="AE11" s="72">
        <f t="shared" si="8"/>
        <v>422722866.06209064</v>
      </c>
      <c r="AF11" s="75">
        <f t="shared" si="9"/>
        <v>3.2169507718548154</v>
      </c>
      <c r="AI11">
        <f>AI$20*$C11</f>
        <v>119383.09293487259</v>
      </c>
      <c r="AJ11" s="69">
        <f t="shared" si="17"/>
        <v>4857329.651499033</v>
      </c>
      <c r="AK11" s="69">
        <f>AD11+$D35</f>
        <v>55</v>
      </c>
      <c r="AL11" s="72">
        <f t="shared" si="10"/>
        <v>267153130.83244681</v>
      </c>
      <c r="AM11" s="75">
        <f t="shared" si="11"/>
        <v>2.5681639641804517</v>
      </c>
    </row>
    <row r="12" spans="1:39" x14ac:dyDescent="0.25">
      <c r="B12" t="s">
        <v>19</v>
      </c>
      <c r="C12" s="14">
        <v>0.28458603597143833</v>
      </c>
      <c r="E12">
        <f>E$21*C12</f>
        <v>672904.67611348955</v>
      </c>
      <c r="F12" s="17">
        <v>77.270393898379339</v>
      </c>
      <c r="G12" s="17"/>
      <c r="H12" s="69">
        <f t="shared" si="13"/>
        <v>51995609.379350707</v>
      </c>
      <c r="I12" s="71">
        <v>167</v>
      </c>
      <c r="J12" s="72">
        <f t="shared" si="3"/>
        <v>8683266766.3515682</v>
      </c>
      <c r="K12" s="75">
        <f t="shared" si="4"/>
        <v>46.846887206298071</v>
      </c>
      <c r="N12">
        <f>N$21*$C12</f>
        <v>654352.95320764382</v>
      </c>
      <c r="O12" s="69">
        <f t="shared" si="14"/>
        <v>50562110.442922421</v>
      </c>
      <c r="P12" s="69">
        <f>I12+$D36</f>
        <v>139</v>
      </c>
      <c r="Q12" s="72">
        <f t="shared" si="12"/>
        <v>7028133351.5662165</v>
      </c>
      <c r="R12" s="75">
        <f t="shared" si="5"/>
        <v>39.128592243656776</v>
      </c>
      <c r="U12">
        <f>U$21*$C12</f>
        <v>650112.39972157881</v>
      </c>
      <c r="V12" s="69">
        <f t="shared" si="15"/>
        <v>50234441.204707034</v>
      </c>
      <c r="W12" s="69">
        <f>P12+$D36</f>
        <v>111</v>
      </c>
      <c r="X12" s="72">
        <f t="shared" si="6"/>
        <v>5576022973.7224808</v>
      </c>
      <c r="Y12" s="75">
        <f t="shared" si="7"/>
        <v>35.332972289643266</v>
      </c>
      <c r="AB12">
        <f>AB$21*$C12</f>
        <v>603512.72620956833</v>
      </c>
      <c r="AC12" s="69">
        <f t="shared" si="16"/>
        <v>46633666.076898105</v>
      </c>
      <c r="AD12" s="69">
        <f>W12+$D36</f>
        <v>83</v>
      </c>
      <c r="AE12" s="72">
        <f t="shared" si="8"/>
        <v>3870594284.3825426</v>
      </c>
      <c r="AF12" s="75">
        <f t="shared" si="9"/>
        <v>29.455495007105544</v>
      </c>
      <c r="AI12">
        <f>AI$21*$C12</f>
        <v>563126.39405720588</v>
      </c>
      <c r="AJ12" s="69">
        <f t="shared" si="17"/>
        <v>43512998.28337428</v>
      </c>
      <c r="AK12" s="69">
        <f>AD12+$D36</f>
        <v>55</v>
      </c>
      <c r="AL12" s="72">
        <f t="shared" si="10"/>
        <v>2393214905.5855856</v>
      </c>
      <c r="AM12" s="75">
        <f t="shared" si="11"/>
        <v>23.006162270728463</v>
      </c>
    </row>
    <row r="13" spans="1:39" x14ac:dyDescent="0.25">
      <c r="B13" t="s">
        <v>20</v>
      </c>
      <c r="C13" s="14">
        <v>0.36693792141361981</v>
      </c>
      <c r="E13">
        <f>E$22*C13</f>
        <v>304548.90686700359</v>
      </c>
      <c r="F13" s="17">
        <v>77.089701347527978</v>
      </c>
      <c r="G13" s="17"/>
      <c r="H13" s="69">
        <f t="shared" si="13"/>
        <v>23477584.27609342</v>
      </c>
      <c r="I13" s="71">
        <v>167</v>
      </c>
      <c r="J13" s="72">
        <f t="shared" si="3"/>
        <v>3920756574.1076012</v>
      </c>
      <c r="K13" s="75">
        <f t="shared" si="4"/>
        <v>21.152781082613785</v>
      </c>
      <c r="N13">
        <f>N$22*$C13</f>
        <v>390917.05871976796</v>
      </c>
      <c r="O13" s="69">
        <f t="shared" si="14"/>
        <v>30135679.308360968</v>
      </c>
      <c r="P13" s="69">
        <f>I13+$D37</f>
        <v>139</v>
      </c>
      <c r="Q13" s="72">
        <f t="shared" si="12"/>
        <v>4188859423.8621745</v>
      </c>
      <c r="R13" s="75">
        <f t="shared" si="5"/>
        <v>23.321152881337415</v>
      </c>
      <c r="U13">
        <f>U$22*$C13</f>
        <v>419119.11071946961</v>
      </c>
      <c r="V13" s="69">
        <f t="shared" si="15"/>
        <v>32309767.074405424</v>
      </c>
      <c r="W13" s="69">
        <f>P13+$D37</f>
        <v>111</v>
      </c>
      <c r="X13" s="72">
        <f t="shared" si="6"/>
        <v>3586384145.2590022</v>
      </c>
      <c r="Y13" s="75">
        <f t="shared" si="7"/>
        <v>22.725446473520755</v>
      </c>
      <c r="AB13">
        <f>AB$22*$C13</f>
        <v>462987.56555772643</v>
      </c>
      <c r="AC13" s="69">
        <f t="shared" si="16"/>
        <v>35691573.156464159</v>
      </c>
      <c r="AD13" s="69">
        <f>W13+$D37</f>
        <v>83</v>
      </c>
      <c r="AE13" s="72">
        <f t="shared" si="8"/>
        <v>2962400571.9865251</v>
      </c>
      <c r="AF13" s="75">
        <f t="shared" si="9"/>
        <v>22.544076915856788</v>
      </c>
      <c r="AI13">
        <f>AI$22*$C13</f>
        <v>483602.2580253536</v>
      </c>
      <c r="AJ13" s="69">
        <f t="shared" si="17"/>
        <v>37280753.642164677</v>
      </c>
      <c r="AK13" s="69">
        <f>AD13+$D37</f>
        <v>55</v>
      </c>
      <c r="AL13" s="72">
        <f t="shared" si="10"/>
        <v>2050441450.3190572</v>
      </c>
      <c r="AM13" s="75">
        <f t="shared" si="11"/>
        <v>19.711054206862187</v>
      </c>
    </row>
    <row r="14" spans="1:39" x14ac:dyDescent="0.25">
      <c r="A14" t="s">
        <v>5</v>
      </c>
      <c r="B14" t="s">
        <v>18</v>
      </c>
      <c r="C14" s="14">
        <v>0.17671494330301593</v>
      </c>
      <c r="E14">
        <f>E$20*C14</f>
        <v>87349.415748061278</v>
      </c>
      <c r="F14" s="17">
        <v>3.4834109840464751</v>
      </c>
      <c r="G14" s="17"/>
      <c r="H14" s="69">
        <f t="shared" si="13"/>
        <v>304273.91426683881</v>
      </c>
      <c r="I14" s="71">
        <v>0</v>
      </c>
      <c r="J14" s="72">
        <f t="shared" si="3"/>
        <v>0</v>
      </c>
      <c r="K14" s="75">
        <f t="shared" si="4"/>
        <v>0</v>
      </c>
      <c r="N14">
        <f>N$20*$C14</f>
        <v>82619.076541867078</v>
      </c>
      <c r="O14" s="69">
        <f t="shared" si="14"/>
        <v>287796.19871771627</v>
      </c>
      <c r="P14" s="69">
        <f t="shared" ref="P14:P19" si="18">I14+D38</f>
        <v>0</v>
      </c>
      <c r="Q14" s="72">
        <f t="shared" si="12"/>
        <v>0</v>
      </c>
      <c r="R14" s="75">
        <f t="shared" si="5"/>
        <v>0</v>
      </c>
      <c r="U14">
        <f>U$20*$C14</f>
        <v>77055.718723130034</v>
      </c>
      <c r="V14" s="69">
        <f t="shared" si="15"/>
        <v>268416.73698374681</v>
      </c>
      <c r="W14" s="69">
        <f t="shared" ref="W14:W19" si="19">P14+K38</f>
        <v>0</v>
      </c>
      <c r="X14" s="72">
        <f t="shared" si="6"/>
        <v>0</v>
      </c>
      <c r="Y14" s="75">
        <f t="shared" si="7"/>
        <v>0</v>
      </c>
      <c r="AB14">
        <f>AB$20*$C14</f>
        <v>73876.210146736281</v>
      </c>
      <c r="AC14" s="69">
        <f t="shared" si="16"/>
        <v>257341.20188486681</v>
      </c>
      <c r="AD14" s="69">
        <f t="shared" ref="AD14:AD19" si="20">W14+R38</f>
        <v>0</v>
      </c>
      <c r="AE14" s="72">
        <f t="shared" si="8"/>
        <v>0</v>
      </c>
      <c r="AF14" s="75">
        <f t="shared" si="9"/>
        <v>0</v>
      </c>
      <c r="AI14">
        <f>AI$20*$C14</f>
        <v>70457.063471870235</v>
      </c>
      <c r="AJ14" s="69">
        <f t="shared" si="17"/>
        <v>245430.90880157246</v>
      </c>
      <c r="AK14" s="69">
        <f t="shared" ref="AK14:AK19" si="21">AD14+Y38</f>
        <v>0</v>
      </c>
      <c r="AL14" s="72">
        <f t="shared" si="10"/>
        <v>0</v>
      </c>
      <c r="AM14" s="75">
        <f t="shared" si="11"/>
        <v>0</v>
      </c>
    </row>
    <row r="15" spans="1:39" x14ac:dyDescent="0.25">
      <c r="B15" t="s">
        <v>19</v>
      </c>
      <c r="C15" s="14">
        <v>0.16498955495387566</v>
      </c>
      <c r="E15">
        <f>E$21*C15</f>
        <v>390118.37899695442</v>
      </c>
      <c r="F15" s="17">
        <v>5.9683633822978219</v>
      </c>
      <c r="G15" s="17"/>
      <c r="H15" s="69">
        <f t="shared" si="13"/>
        <v>2328368.2479668064</v>
      </c>
      <c r="I15" s="71">
        <v>0</v>
      </c>
      <c r="J15" s="72">
        <f t="shared" si="3"/>
        <v>0</v>
      </c>
      <c r="K15" s="75">
        <f t="shared" si="4"/>
        <v>0</v>
      </c>
      <c r="N15">
        <f>N$21*$C15</f>
        <v>379362.9654524533</v>
      </c>
      <c r="O15" s="69">
        <f t="shared" si="14"/>
        <v>2264176.0316063361</v>
      </c>
      <c r="P15" s="69">
        <f t="shared" si="18"/>
        <v>0</v>
      </c>
      <c r="Q15" s="72">
        <f t="shared" si="12"/>
        <v>0</v>
      </c>
      <c r="R15" s="75">
        <f t="shared" si="5"/>
        <v>0</v>
      </c>
      <c r="U15">
        <f>U$21*$C15</f>
        <v>376904.49263935222</v>
      </c>
      <c r="V15" s="69">
        <f t="shared" si="15"/>
        <v>2249502.9724922488</v>
      </c>
      <c r="W15" s="69">
        <f t="shared" si="19"/>
        <v>0</v>
      </c>
      <c r="X15" s="72">
        <f t="shared" si="6"/>
        <v>0</v>
      </c>
      <c r="Y15" s="75">
        <f t="shared" si="7"/>
        <v>0</v>
      </c>
      <c r="AB15">
        <f>AB$21*$C15</f>
        <v>349888.20082623541</v>
      </c>
      <c r="AC15" s="69">
        <f t="shared" si="16"/>
        <v>2088259.9257093698</v>
      </c>
      <c r="AD15" s="69">
        <f t="shared" si="20"/>
        <v>0</v>
      </c>
      <c r="AE15" s="72">
        <f t="shared" si="8"/>
        <v>0</v>
      </c>
      <c r="AF15" s="75">
        <f t="shared" si="9"/>
        <v>0</v>
      </c>
      <c r="AI15">
        <f>AI$21*$C15</f>
        <v>326474.1111457902</v>
      </c>
      <c r="AJ15" s="69">
        <f t="shared" si="17"/>
        <v>1948516.1302307635</v>
      </c>
      <c r="AK15" s="69">
        <f t="shared" si="21"/>
        <v>0</v>
      </c>
      <c r="AL15" s="72">
        <f t="shared" si="10"/>
        <v>0</v>
      </c>
      <c r="AM15" s="75">
        <f t="shared" si="11"/>
        <v>0</v>
      </c>
    </row>
    <row r="16" spans="1:39" x14ac:dyDescent="0.25">
      <c r="B16" t="s">
        <v>20</v>
      </c>
      <c r="C16" s="14">
        <v>0.16582965201890887</v>
      </c>
      <c r="E16">
        <f>E$22*C16</f>
        <v>137634.28716751796</v>
      </c>
      <c r="F16" s="17">
        <v>6.2630820520011659</v>
      </c>
      <c r="G16" s="17"/>
      <c r="H16" s="69">
        <f t="shared" si="13"/>
        <v>862014.83369885618</v>
      </c>
      <c r="I16" s="71">
        <v>0</v>
      </c>
      <c r="J16" s="72">
        <f t="shared" si="3"/>
        <v>0</v>
      </c>
      <c r="K16" s="75">
        <f t="shared" si="4"/>
        <v>0</v>
      </c>
      <c r="N16">
        <f>N$22*$C16</f>
        <v>176666.50414875415</v>
      </c>
      <c r="O16" s="69">
        <f t="shared" si="14"/>
        <v>1106476.8113238516</v>
      </c>
      <c r="P16" s="69">
        <f t="shared" si="18"/>
        <v>0</v>
      </c>
      <c r="Q16" s="72">
        <f t="shared" si="12"/>
        <v>0</v>
      </c>
      <c r="R16" s="75">
        <f t="shared" si="5"/>
        <v>0</v>
      </c>
      <c r="U16">
        <f>U$22*$C16</f>
        <v>189411.81117865359</v>
      </c>
      <c r="V16" s="69">
        <f t="shared" si="15"/>
        <v>1186301.715030059</v>
      </c>
      <c r="W16" s="69">
        <f t="shared" si="19"/>
        <v>0</v>
      </c>
      <c r="X16" s="72">
        <f t="shared" si="6"/>
        <v>0</v>
      </c>
      <c r="Y16" s="75">
        <f t="shared" si="7"/>
        <v>0</v>
      </c>
      <c r="AB16">
        <f>AB$22*$C16</f>
        <v>209237.20990661762</v>
      </c>
      <c r="AC16" s="69">
        <f t="shared" si="16"/>
        <v>1310469.8139769374</v>
      </c>
      <c r="AD16" s="69">
        <f t="shared" si="20"/>
        <v>0</v>
      </c>
      <c r="AE16" s="72">
        <f t="shared" si="8"/>
        <v>0</v>
      </c>
      <c r="AF16" s="75">
        <f t="shared" si="9"/>
        <v>0</v>
      </c>
      <c r="AI16">
        <f>AI$22*$C16</f>
        <v>218553.57400769947</v>
      </c>
      <c r="AJ16" s="69">
        <f t="shared" si="17"/>
        <v>1368818.9667683311</v>
      </c>
      <c r="AK16" s="69">
        <f t="shared" si="21"/>
        <v>0</v>
      </c>
      <c r="AL16" s="72">
        <f t="shared" si="10"/>
        <v>0</v>
      </c>
      <c r="AM16" s="75">
        <f t="shared" si="11"/>
        <v>0</v>
      </c>
    </row>
    <row r="17" spans="1:39" x14ac:dyDescent="0.25">
      <c r="A17" t="s">
        <v>6</v>
      </c>
      <c r="B17" t="s">
        <v>18</v>
      </c>
      <c r="C17" s="14">
        <v>0.75599715579506344</v>
      </c>
      <c r="E17">
        <f>E$20*C17</f>
        <v>373686.0541140656</v>
      </c>
      <c r="F17" s="17">
        <v>1.1162087685427786</v>
      </c>
      <c r="G17" s="17"/>
      <c r="H17" s="69">
        <f t="shared" si="13"/>
        <v>417111.65028427128</v>
      </c>
      <c r="I17" s="71">
        <v>0</v>
      </c>
      <c r="J17" s="72">
        <f t="shared" si="3"/>
        <v>0</v>
      </c>
      <c r="K17" s="75">
        <f t="shared" si="4"/>
        <v>0</v>
      </c>
      <c r="N17">
        <f>N$20*$C17</f>
        <v>353449.37848841317</v>
      </c>
      <c r="O17" s="69">
        <f t="shared" si="14"/>
        <v>394523.29550476215</v>
      </c>
      <c r="P17" s="69">
        <f t="shared" si="18"/>
        <v>0</v>
      </c>
      <c r="Q17" s="72">
        <f t="shared" si="12"/>
        <v>0</v>
      </c>
      <c r="R17" s="75">
        <f t="shared" si="5"/>
        <v>0</v>
      </c>
      <c r="U17">
        <f>U$20*$C17</f>
        <v>329648.99913722533</v>
      </c>
      <c r="V17" s="69">
        <f t="shared" si="15"/>
        <v>367957.1033783218</v>
      </c>
      <c r="W17" s="69">
        <f t="shared" si="19"/>
        <v>0</v>
      </c>
      <c r="X17" s="72">
        <f t="shared" si="6"/>
        <v>0</v>
      </c>
      <c r="Y17" s="75">
        <f t="shared" si="7"/>
        <v>0</v>
      </c>
      <c r="AB17">
        <f>AB$20*$C17</f>
        <v>316046.87021902727</v>
      </c>
      <c r="AC17" s="69">
        <f t="shared" si="16"/>
        <v>352774.2878089798</v>
      </c>
      <c r="AD17" s="69">
        <f t="shared" si="20"/>
        <v>0</v>
      </c>
      <c r="AE17" s="72">
        <f t="shared" si="8"/>
        <v>0</v>
      </c>
      <c r="AF17" s="75">
        <f t="shared" si="9"/>
        <v>0</v>
      </c>
      <c r="AI17">
        <f>AI$20*$C17</f>
        <v>301419.55510276929</v>
      </c>
      <c r="AJ17" s="69">
        <f t="shared" si="17"/>
        <v>336447.15041597432</v>
      </c>
      <c r="AK17" s="69">
        <f t="shared" si="21"/>
        <v>0</v>
      </c>
      <c r="AL17" s="72">
        <f t="shared" si="10"/>
        <v>0</v>
      </c>
      <c r="AM17" s="75">
        <f t="shared" si="11"/>
        <v>0</v>
      </c>
    </row>
    <row r="18" spans="1:39" x14ac:dyDescent="0.25">
      <c r="B18" t="s">
        <v>19</v>
      </c>
      <c r="C18" s="14">
        <v>0.25062768682293074</v>
      </c>
      <c r="E18">
        <f>E$21*C18</f>
        <v>592610.04093532974</v>
      </c>
      <c r="F18" s="17">
        <v>0.92901620279483998</v>
      </c>
      <c r="G18" s="17"/>
      <c r="H18" s="69">
        <f t="shared" si="13"/>
        <v>550544.32996783475</v>
      </c>
      <c r="I18" s="71">
        <v>0</v>
      </c>
      <c r="J18" s="72">
        <f t="shared" si="3"/>
        <v>0</v>
      </c>
      <c r="K18" s="75">
        <f t="shared" si="4"/>
        <v>0</v>
      </c>
      <c r="N18">
        <f>N$21*$C18</f>
        <v>576272.01021431887</v>
      </c>
      <c r="O18" s="69">
        <f t="shared" si="14"/>
        <v>535366.03470625577</v>
      </c>
      <c r="P18" s="69">
        <f t="shared" si="18"/>
        <v>0</v>
      </c>
      <c r="Q18" s="72">
        <f t="shared" si="12"/>
        <v>0</v>
      </c>
      <c r="R18" s="75">
        <f t="shared" si="5"/>
        <v>0</v>
      </c>
      <c r="U18">
        <f>U$21*$C18</f>
        <v>572537.46256712487</v>
      </c>
      <c r="V18" s="69">
        <f t="shared" si="15"/>
        <v>531896.5794319032</v>
      </c>
      <c r="W18" s="69">
        <f t="shared" si="19"/>
        <v>0</v>
      </c>
      <c r="X18" s="72">
        <f t="shared" si="6"/>
        <v>0</v>
      </c>
      <c r="Y18" s="75">
        <f t="shared" si="7"/>
        <v>0</v>
      </c>
      <c r="AB18">
        <f>AB$21*$C18</f>
        <v>531498.31481290702</v>
      </c>
      <c r="AC18" s="69">
        <f t="shared" si="16"/>
        <v>493770.54621934332</v>
      </c>
      <c r="AD18" s="69">
        <f t="shared" si="20"/>
        <v>0</v>
      </c>
      <c r="AE18" s="72">
        <f t="shared" si="8"/>
        <v>0</v>
      </c>
      <c r="AF18" s="75">
        <f t="shared" si="9"/>
        <v>0</v>
      </c>
      <c r="AI18">
        <f>AI$21*$C18</f>
        <v>495931.09883177927</v>
      </c>
      <c r="AJ18" s="69">
        <f t="shared" si="17"/>
        <v>460728.02628457209</v>
      </c>
      <c r="AK18" s="69">
        <f t="shared" si="21"/>
        <v>0</v>
      </c>
      <c r="AL18" s="72">
        <f t="shared" si="10"/>
        <v>0</v>
      </c>
      <c r="AM18" s="75">
        <f t="shared" si="11"/>
        <v>0</v>
      </c>
    </row>
    <row r="19" spans="1:39" x14ac:dyDescent="0.25">
      <c r="B19" t="s">
        <v>20</v>
      </c>
      <c r="C19" s="14">
        <v>0.33397659459040341</v>
      </c>
      <c r="E19">
        <f>E$22*C19</f>
        <v>277191.86507033091</v>
      </c>
      <c r="F19" s="17">
        <v>1.1815909776529738</v>
      </c>
      <c r="G19" s="17"/>
      <c r="H19" s="69">
        <f t="shared" si="13"/>
        <v>327527.40684590349</v>
      </c>
      <c r="I19" s="71">
        <v>0</v>
      </c>
      <c r="J19" s="72">
        <f t="shared" si="3"/>
        <v>0</v>
      </c>
      <c r="K19" s="75">
        <f t="shared" si="4"/>
        <v>0</v>
      </c>
      <c r="N19">
        <f>N$22*$C19</f>
        <v>355801.73217190662</v>
      </c>
      <c r="O19" s="69">
        <f t="shared" si="14"/>
        <v>420412.11656762467</v>
      </c>
      <c r="P19" s="69">
        <f t="shared" si="18"/>
        <v>0</v>
      </c>
      <c r="Q19" s="72">
        <f t="shared" si="12"/>
        <v>0</v>
      </c>
      <c r="R19" s="75">
        <f t="shared" si="5"/>
        <v>0</v>
      </c>
      <c r="U19">
        <f>U$22*$C19</f>
        <v>381470.44815262628</v>
      </c>
      <c r="V19" s="69">
        <f t="shared" si="15"/>
        <v>450742.03977837978</v>
      </c>
      <c r="W19" s="69">
        <f t="shared" si="19"/>
        <v>0</v>
      </c>
      <c r="X19" s="72">
        <f t="shared" si="6"/>
        <v>0</v>
      </c>
      <c r="Y19" s="75">
        <f t="shared" si="7"/>
        <v>0</v>
      </c>
      <c r="AB19">
        <f>AB$22*$C19</f>
        <v>421398.28417562746</v>
      </c>
      <c r="AC19" s="69">
        <f t="shared" si="16"/>
        <v>497920.41058036534</v>
      </c>
      <c r="AD19" s="69">
        <f t="shared" si="20"/>
        <v>0</v>
      </c>
      <c r="AE19" s="72">
        <f t="shared" si="8"/>
        <v>0</v>
      </c>
      <c r="AF19" s="75">
        <f t="shared" si="9"/>
        <v>0</v>
      </c>
      <c r="AI19">
        <f>AI$22*$C19</f>
        <v>440161.19851912989</v>
      </c>
      <c r="AJ19" s="69">
        <f t="shared" si="17"/>
        <v>520090.50088312337</v>
      </c>
      <c r="AK19" s="69">
        <f t="shared" si="21"/>
        <v>0</v>
      </c>
      <c r="AL19" s="72">
        <f t="shared" si="10"/>
        <v>0</v>
      </c>
      <c r="AM19" s="75">
        <f t="shared" si="11"/>
        <v>0</v>
      </c>
    </row>
    <row r="20" spans="1:39" x14ac:dyDescent="0.25">
      <c r="A20" t="s">
        <v>24</v>
      </c>
      <c r="B20" t="s">
        <v>18</v>
      </c>
      <c r="C20" s="20">
        <v>5.2248436711756628E-2</v>
      </c>
      <c r="D20">
        <f>13.4/100</f>
        <v>0.13400000000000001</v>
      </c>
      <c r="E20" s="21">
        <f>D20*E$23</f>
        <v>494295.58200000005</v>
      </c>
      <c r="F20" s="24">
        <f>(F5+F8+F11+F14+F17)/5</f>
        <v>68.242015318756131</v>
      </c>
      <c r="G20" s="24"/>
      <c r="H20" s="70">
        <f>H5+H8+H11+H14+H17</f>
        <v>9247202.7969108447</v>
      </c>
      <c r="I20" s="24"/>
      <c r="J20" s="70">
        <f>J5+J8+J11+J14+J17</f>
        <v>1063925207.0018733</v>
      </c>
      <c r="K20" s="75">
        <f t="shared" si="4"/>
        <v>5.7399577266812374</v>
      </c>
      <c r="M20" s="80">
        <v>12.2</v>
      </c>
      <c r="N20" s="21">
        <f>M20*N$23/100</f>
        <v>467527.39184144052</v>
      </c>
      <c r="O20" s="70">
        <f>O5+O8+O11+O14+O17</f>
        <v>8746427.7709619515</v>
      </c>
      <c r="P20" s="70"/>
      <c r="Q20" s="70">
        <f>Q5+Q8+Q11+Q14+Q17</f>
        <v>856012857.70447946</v>
      </c>
      <c r="R20" s="75">
        <f t="shared" si="5"/>
        <v>4.765785791042469</v>
      </c>
      <c r="T20">
        <v>11.3</v>
      </c>
      <c r="U20" s="21">
        <f>T20*U$23/100</f>
        <v>436045.290131471</v>
      </c>
      <c r="V20" s="70">
        <f>V5+V8+V11+V14+V17</f>
        <v>8157465.6406367356</v>
      </c>
      <c r="W20" s="70"/>
      <c r="X20" s="70">
        <f>X5+X8+X11+X14+X17</f>
        <v>649628337.81560576</v>
      </c>
      <c r="Y20" s="75">
        <f t="shared" si="7"/>
        <v>4.1164285310113211</v>
      </c>
      <c r="AA20">
        <v>11</v>
      </c>
      <c r="AB20" s="21">
        <f>AA20*AB$23/100</f>
        <v>418052.98842248769</v>
      </c>
      <c r="AC20" s="70">
        <f>AC5+AC8+AC11+AC14+AC17</f>
        <v>7820868.5340775792</v>
      </c>
      <c r="AD20" s="70"/>
      <c r="AE20" s="70">
        <f>AE5+AE8+AE11+AE14+AE17</f>
        <v>480217769.75152194</v>
      </c>
      <c r="AF20" s="75">
        <f t="shared" si="9"/>
        <v>3.6544910367674475</v>
      </c>
      <c r="AH20">
        <v>10.8</v>
      </c>
      <c r="AI20" s="21">
        <f>AH20*AI$23/100</f>
        <v>398704.61521217471</v>
      </c>
      <c r="AJ20" s="70">
        <f>AJ5+AJ8+AJ11+AJ14+AJ17</f>
        <v>7458902.2584694736</v>
      </c>
      <c r="AK20" s="70"/>
      <c r="AL20" s="70">
        <f>AL5+AL8+AL11+AL14+AL17</f>
        <v>321987049.22795194</v>
      </c>
      <c r="AM20" s="75">
        <f t="shared" si="11"/>
        <v>3.0952867150886902</v>
      </c>
    </row>
    <row r="21" spans="1:39" x14ac:dyDescent="0.25">
      <c r="B21" t="s">
        <v>19</v>
      </c>
      <c r="C21" s="20">
        <v>0.69545502539976767</v>
      </c>
      <c r="D21">
        <f>64.1/100</f>
        <v>0.6409999999999999</v>
      </c>
      <c r="E21" s="21">
        <f>D21*E$23</f>
        <v>2364503.4929999998</v>
      </c>
      <c r="F21" s="24">
        <f>(F6+F9+F12+F15+F18)/5</f>
        <v>100.43948307209855</v>
      </c>
      <c r="G21" s="24"/>
      <c r="H21" s="70">
        <f t="shared" ref="H21:J22" si="22">H6+H9+H12+H15+H18</f>
        <v>260045838.40254128</v>
      </c>
      <c r="I21" s="24"/>
      <c r="J21" s="70">
        <f t="shared" si="22"/>
        <v>12541244251.130484</v>
      </c>
      <c r="K21" s="75">
        <f t="shared" si="4"/>
        <v>67.660970308551327</v>
      </c>
      <c r="M21" s="80">
        <v>60</v>
      </c>
      <c r="N21" s="21">
        <f>M21*N$23/100</f>
        <v>2299315.0418431498</v>
      </c>
      <c r="O21" s="70">
        <f t="shared" ref="O21:Q22" si="23">O6+O9+O12+O15+O18</f>
        <v>252876474.73467964</v>
      </c>
      <c r="P21" s="70"/>
      <c r="Q21" s="70">
        <f t="shared" si="23"/>
        <v>11405016970.526085</v>
      </c>
      <c r="R21" s="75">
        <f t="shared" si="5"/>
        <v>63.496555379423967</v>
      </c>
      <c r="T21">
        <v>59.2</v>
      </c>
      <c r="U21" s="21">
        <f>T21*U$23/100</f>
        <v>2284414.2633436359</v>
      </c>
      <c r="V21" s="70">
        <f t="shared" ref="V21:X22" si="24">V6+V9+V12+V15+V18</f>
        <v>251237701.33077979</v>
      </c>
      <c r="W21" s="70"/>
      <c r="X21" s="70">
        <f t="shared" si="24"/>
        <v>9924542070.1452408</v>
      </c>
      <c r="Y21" s="75">
        <f t="shared" si="7"/>
        <v>62.887755592897442</v>
      </c>
      <c r="AA21">
        <v>55.8</v>
      </c>
      <c r="AB21" s="21">
        <f>AA21*AB$23/100</f>
        <v>2120668.7958158921</v>
      </c>
      <c r="AC21" s="70">
        <f t="shared" ref="AC21:AE22" si="25">AC6+AC9+AC12+AC15+AC18</f>
        <v>233229131.02672729</v>
      </c>
      <c r="AD21" s="70"/>
      <c r="AE21" s="70">
        <f t="shared" si="25"/>
        <v>7907414095.8188496</v>
      </c>
      <c r="AF21" s="75">
        <f t="shared" si="9"/>
        <v>60.17597797793065</v>
      </c>
      <c r="AH21">
        <v>53.6</v>
      </c>
      <c r="AI21" s="21">
        <f>AH21*AI$23/100</f>
        <v>1978756.2384604227</v>
      </c>
      <c r="AJ21" s="70">
        <f t="shared" ref="AJ21:AL22" si="26">AJ6+AJ9+AJ12+AJ15+AJ18</f>
        <v>217621723.35462883</v>
      </c>
      <c r="AK21" s="70"/>
      <c r="AL21" s="70">
        <f t="shared" si="26"/>
        <v>6159895681.5655117</v>
      </c>
      <c r="AM21" s="75">
        <f t="shared" si="11"/>
        <v>59.215559492840406</v>
      </c>
    </row>
    <row r="22" spans="1:39" ht="15.75" thickBot="1" x14ac:dyDescent="0.3">
      <c r="B22" t="s">
        <v>20</v>
      </c>
      <c r="C22" s="20">
        <v>0.25229653788847567</v>
      </c>
      <c r="D22">
        <f>22.5/100</f>
        <v>0.22500000000000001</v>
      </c>
      <c r="E22" s="21">
        <f>D22*E$23</f>
        <v>829973.92500000005</v>
      </c>
      <c r="F22" s="24">
        <f>(F7+F10+F13+F16+F19)/5</f>
        <v>101.7848766663394</v>
      </c>
      <c r="G22" s="24"/>
      <c r="H22" s="70">
        <f t="shared" si="22"/>
        <v>73255059.552111879</v>
      </c>
      <c r="J22" s="70">
        <f t="shared" si="22"/>
        <v>4930249401.4246435</v>
      </c>
      <c r="K22" s="75">
        <f t="shared" si="4"/>
        <v>26.599071964767447</v>
      </c>
      <c r="M22" s="80">
        <v>27.8</v>
      </c>
      <c r="N22" s="21">
        <f>M22*N$23/100</f>
        <v>1065349.3027206594</v>
      </c>
      <c r="O22" s="70">
        <f t="shared" si="23"/>
        <v>94029733.060111225</v>
      </c>
      <c r="P22" s="70"/>
      <c r="Q22" s="70">
        <f t="shared" si="23"/>
        <v>5700601164.7821331</v>
      </c>
      <c r="R22" s="75">
        <f t="shared" si="5"/>
        <v>31.737658829533576</v>
      </c>
      <c r="T22">
        <v>29.6</v>
      </c>
      <c r="U22" s="21">
        <f>T22*U$23/100</f>
        <v>1142207.131671818</v>
      </c>
      <c r="V22" s="70">
        <f t="shared" si="24"/>
        <v>100813349.58982709</v>
      </c>
      <c r="W22" s="70"/>
      <c r="X22" s="70">
        <f t="shared" si="24"/>
        <v>5207187944.8344946</v>
      </c>
      <c r="Y22" s="75">
        <f t="shared" si="7"/>
        <v>32.995815876091228</v>
      </c>
      <c r="AA22">
        <v>33.200000000000003</v>
      </c>
      <c r="AB22" s="21">
        <f>AA22*AB$23/100</f>
        <v>1261759.9286933267</v>
      </c>
      <c r="AC22" s="70">
        <f t="shared" si="25"/>
        <v>111365304.29784055</v>
      </c>
      <c r="AD22" s="70"/>
      <c r="AE22" s="70">
        <f t="shared" si="25"/>
        <v>4752851033.9661655</v>
      </c>
      <c r="AF22" s="75">
        <f t="shared" si="9"/>
        <v>36.169530985301904</v>
      </c>
      <c r="AH22">
        <v>35.700000000000003</v>
      </c>
      <c r="AI22" s="21">
        <f>AH22*AI$23/100</f>
        <v>1317940.2558402445</v>
      </c>
      <c r="AJ22" s="70">
        <f t="shared" si="26"/>
        <v>116323885.63014515</v>
      </c>
      <c r="AK22" s="70"/>
      <c r="AL22" s="70">
        <f t="shared" si="26"/>
        <v>3920612380.8338923</v>
      </c>
      <c r="AM22" s="75">
        <f t="shared" si="11"/>
        <v>37.689153792070904</v>
      </c>
    </row>
    <row r="23" spans="1:39" ht="15.75" thickBot="1" x14ac:dyDescent="0.3">
      <c r="B23" t="s">
        <v>24</v>
      </c>
      <c r="E23" s="25">
        <v>3688773</v>
      </c>
      <c r="F23" s="10">
        <f>AVERAGE(F20:F22)</f>
        <v>90.155458352398043</v>
      </c>
      <c r="H23" s="10">
        <f>SUM(H20:H22)</f>
        <v>342548100.75156397</v>
      </c>
      <c r="J23" s="10">
        <f>SUM(J20:J22)</f>
        <v>18535418859.556999</v>
      </c>
      <c r="K23" s="75">
        <f t="shared" si="4"/>
        <v>100</v>
      </c>
      <c r="N23" s="25">
        <v>3832191.7364052502</v>
      </c>
      <c r="O23" s="10">
        <f>SUM(O20:O22)</f>
        <v>355652635.5657528</v>
      </c>
      <c r="P23" s="10"/>
      <c r="Q23" s="10">
        <f>SUM(Q20:Q22)</f>
        <v>17961630993.012695</v>
      </c>
      <c r="R23" s="75">
        <f t="shared" si="5"/>
        <v>100</v>
      </c>
      <c r="U23" s="25">
        <v>3858807.877269655</v>
      </c>
      <c r="V23" s="10">
        <f>SUM(V20:V22)</f>
        <v>360208516.56124365</v>
      </c>
      <c r="W23" s="10"/>
      <c r="X23" s="10">
        <f>SUM(X20:X22)</f>
        <v>15781358352.795341</v>
      </c>
      <c r="Y23" s="75">
        <f t="shared" si="7"/>
        <v>100</v>
      </c>
      <c r="AB23" s="25">
        <v>3800481.7129317061</v>
      </c>
      <c r="AC23" s="10">
        <f>SUM(AC20:AC22)</f>
        <v>352415303.85864544</v>
      </c>
      <c r="AD23" s="10"/>
      <c r="AE23" s="10">
        <f>SUM(AE20:AE22)</f>
        <v>13140482899.536537</v>
      </c>
      <c r="AF23" s="75">
        <f t="shared" si="9"/>
        <v>100</v>
      </c>
      <c r="AI23" s="25">
        <v>3691709.4001127291</v>
      </c>
      <c r="AJ23" s="10">
        <f>SUM(AJ20:AJ22)</f>
        <v>341404511.24324346</v>
      </c>
      <c r="AK23" s="10"/>
      <c r="AL23" s="10">
        <f>SUM(AL20:AL22)</f>
        <v>10402495111.627356</v>
      </c>
      <c r="AM23" s="75">
        <f t="shared" si="11"/>
        <v>100</v>
      </c>
    </row>
    <row r="28" spans="1:39" x14ac:dyDescent="0.25">
      <c r="B28">
        <v>2003</v>
      </c>
      <c r="C28">
        <v>2013</v>
      </c>
      <c r="D28" t="s">
        <v>98</v>
      </c>
    </row>
    <row r="29" spans="1:39" x14ac:dyDescent="0.25">
      <c r="A29" t="s">
        <v>2</v>
      </c>
      <c r="B29" s="71">
        <v>18</v>
      </c>
      <c r="C29">
        <v>21</v>
      </c>
      <c r="D29">
        <f>(C29-B29)</f>
        <v>3</v>
      </c>
      <c r="E29" t="s">
        <v>100</v>
      </c>
    </row>
    <row r="30" spans="1:39" x14ac:dyDescent="0.25">
      <c r="B30" s="71">
        <v>18</v>
      </c>
      <c r="C30">
        <v>21</v>
      </c>
      <c r="D30">
        <f t="shared" ref="D30:D43" si="27">(C30-B30)</f>
        <v>3</v>
      </c>
      <c r="E30" t="s">
        <v>100</v>
      </c>
    </row>
    <row r="31" spans="1:39" x14ac:dyDescent="0.25">
      <c r="B31" s="71">
        <v>18</v>
      </c>
      <c r="C31">
        <v>21</v>
      </c>
      <c r="D31">
        <f t="shared" si="27"/>
        <v>3</v>
      </c>
      <c r="E31" t="s">
        <v>100</v>
      </c>
    </row>
    <row r="32" spans="1:39" x14ac:dyDescent="0.25">
      <c r="A32" t="s">
        <v>3</v>
      </c>
      <c r="B32" s="71">
        <v>52</v>
      </c>
      <c r="C32">
        <v>56</v>
      </c>
      <c r="D32">
        <f t="shared" si="27"/>
        <v>4</v>
      </c>
      <c r="E32" t="s">
        <v>100</v>
      </c>
    </row>
    <row r="33" spans="1:5" x14ac:dyDescent="0.25">
      <c r="B33" s="71">
        <v>52</v>
      </c>
      <c r="C33">
        <v>56</v>
      </c>
      <c r="D33">
        <f t="shared" si="27"/>
        <v>4</v>
      </c>
      <c r="E33" t="s">
        <v>100</v>
      </c>
    </row>
    <row r="34" spans="1:5" x14ac:dyDescent="0.25">
      <c r="B34" s="71">
        <v>52</v>
      </c>
      <c r="C34">
        <v>56</v>
      </c>
      <c r="D34">
        <f t="shared" si="27"/>
        <v>4</v>
      </c>
      <c r="E34" t="s">
        <v>100</v>
      </c>
    </row>
    <row r="35" spans="1:5" x14ac:dyDescent="0.25">
      <c r="A35" t="s">
        <v>4</v>
      </c>
      <c r="B35" s="71">
        <v>175</v>
      </c>
      <c r="C35">
        <v>147</v>
      </c>
      <c r="D35">
        <f t="shared" si="27"/>
        <v>-28</v>
      </c>
    </row>
    <row r="36" spans="1:5" x14ac:dyDescent="0.25">
      <c r="B36" s="71">
        <v>175</v>
      </c>
      <c r="C36">
        <v>147</v>
      </c>
      <c r="D36">
        <f t="shared" si="27"/>
        <v>-28</v>
      </c>
    </row>
    <row r="37" spans="1:5" x14ac:dyDescent="0.25">
      <c r="B37" s="71">
        <v>175</v>
      </c>
      <c r="C37">
        <v>147</v>
      </c>
      <c r="D37">
        <f t="shared" si="27"/>
        <v>-28</v>
      </c>
    </row>
    <row r="38" spans="1:5" x14ac:dyDescent="0.25">
      <c r="A38" t="s">
        <v>5</v>
      </c>
      <c r="B38" s="71">
        <v>0</v>
      </c>
      <c r="C38">
        <v>0</v>
      </c>
      <c r="D38">
        <f t="shared" si="27"/>
        <v>0</v>
      </c>
    </row>
    <row r="39" spans="1:5" x14ac:dyDescent="0.25">
      <c r="B39" s="71">
        <v>0</v>
      </c>
      <c r="C39">
        <v>0</v>
      </c>
      <c r="D39">
        <f t="shared" si="27"/>
        <v>0</v>
      </c>
    </row>
    <row r="40" spans="1:5" x14ac:dyDescent="0.25">
      <c r="B40" s="71">
        <v>0</v>
      </c>
      <c r="C40">
        <v>0</v>
      </c>
      <c r="D40">
        <f t="shared" si="27"/>
        <v>0</v>
      </c>
    </row>
    <row r="41" spans="1:5" x14ac:dyDescent="0.25">
      <c r="A41" t="s">
        <v>6</v>
      </c>
      <c r="B41" s="71">
        <v>0</v>
      </c>
      <c r="C41">
        <v>0</v>
      </c>
      <c r="D41">
        <f t="shared" si="27"/>
        <v>0</v>
      </c>
    </row>
    <row r="42" spans="1:5" x14ac:dyDescent="0.25">
      <c r="B42" s="71">
        <v>0</v>
      </c>
      <c r="C42">
        <v>0</v>
      </c>
      <c r="D42">
        <f t="shared" si="27"/>
        <v>0</v>
      </c>
    </row>
    <row r="43" spans="1:5" x14ac:dyDescent="0.25">
      <c r="B43" s="71">
        <v>0</v>
      </c>
      <c r="C43">
        <v>0</v>
      </c>
      <c r="D43">
        <f t="shared" si="27"/>
        <v>0</v>
      </c>
    </row>
  </sheetData>
  <mergeCells count="5">
    <mergeCell ref="E2:K2"/>
    <mergeCell ref="M2:R2"/>
    <mergeCell ref="T2:Y2"/>
    <mergeCell ref="AA2:AF2"/>
    <mergeCell ref="AH2:AM2"/>
  </mergeCell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43"/>
  <sheetViews>
    <sheetView topLeftCell="A19" zoomScaleNormal="100" workbookViewId="0">
      <selection activeCell="J20" activeCellId="4" sqref="Q20:R23 X20:Y23 AE20:AF23 AL20:AM23 J20:K23"/>
    </sheetView>
  </sheetViews>
  <sheetFormatPr defaultRowHeight="15" x14ac:dyDescent="0.25"/>
  <cols>
    <col min="4" max="7" width="9.140625" hidden="1" customWidth="1"/>
    <col min="8" max="8" width="11.85546875" hidden="1" customWidth="1"/>
    <col min="10" max="10" width="13.42578125" customWidth="1"/>
    <col min="12" max="12" width="9.140625" customWidth="1"/>
    <col min="13" max="14" width="9.140625" hidden="1" customWidth="1"/>
    <col min="15" max="15" width="11.7109375" hidden="1" customWidth="1"/>
    <col min="16" max="16" width="11.7109375" customWidth="1"/>
    <col min="17" max="17" width="13.5703125" customWidth="1"/>
    <col min="19" max="19" width="13.140625" customWidth="1"/>
    <col min="20" max="22" width="9.140625" hidden="1" customWidth="1"/>
    <col min="23" max="23" width="10.7109375" customWidth="1"/>
    <col min="24" max="24" width="15.7109375" customWidth="1"/>
    <col min="26" max="26" width="9.140625" customWidth="1"/>
    <col min="27" max="28" width="9.140625" hidden="1" customWidth="1"/>
    <col min="29" max="29" width="12.5703125" hidden="1" customWidth="1"/>
    <col min="31" max="31" width="12.85546875" customWidth="1"/>
    <col min="33" max="33" width="9.140625" customWidth="1"/>
    <col min="34" max="36" width="9.140625" hidden="1" customWidth="1"/>
    <col min="38" max="38" width="13.28515625" customWidth="1"/>
  </cols>
  <sheetData>
    <row r="1" spans="1:39" x14ac:dyDescent="0.25">
      <c r="A1" t="s">
        <v>103</v>
      </c>
    </row>
    <row r="2" spans="1:39" ht="21" x14ac:dyDescent="0.35">
      <c r="A2" t="s">
        <v>97</v>
      </c>
      <c r="E2" s="106">
        <v>2010</v>
      </c>
      <c r="F2" s="106"/>
      <c r="G2" s="106"/>
      <c r="H2" s="106"/>
      <c r="I2" s="106"/>
      <c r="J2" s="106"/>
      <c r="K2" s="106"/>
      <c r="M2" s="107">
        <v>2020</v>
      </c>
      <c r="N2" s="107"/>
      <c r="O2" s="107"/>
      <c r="P2" s="107"/>
      <c r="Q2" s="107"/>
      <c r="R2" s="107"/>
      <c r="T2" s="107">
        <v>2030</v>
      </c>
      <c r="U2" s="107"/>
      <c r="V2" s="107"/>
      <c r="W2" s="107"/>
      <c r="X2" s="107"/>
      <c r="Y2" s="107"/>
      <c r="AA2" s="107">
        <v>2040</v>
      </c>
      <c r="AB2" s="107"/>
      <c r="AC2" s="107"/>
      <c r="AD2" s="107"/>
      <c r="AE2" s="107"/>
      <c r="AF2" s="107"/>
      <c r="AH2" s="107">
        <v>2050</v>
      </c>
      <c r="AI2" s="107"/>
      <c r="AJ2" s="107"/>
      <c r="AK2" s="107"/>
      <c r="AL2" s="107"/>
      <c r="AM2" s="107"/>
    </row>
    <row r="3" spans="1:39" ht="21" x14ac:dyDescent="0.35">
      <c r="A3" t="s">
        <v>99</v>
      </c>
      <c r="E3" s="82"/>
      <c r="F3" s="82"/>
      <c r="G3" s="82"/>
      <c r="H3" s="82"/>
      <c r="I3" s="82"/>
      <c r="J3" s="82"/>
      <c r="K3" s="82"/>
      <c r="M3" s="84"/>
      <c r="N3" s="84"/>
      <c r="O3" s="84"/>
      <c r="P3" s="84"/>
      <c r="Q3" s="84"/>
      <c r="R3" s="84"/>
      <c r="T3" s="84"/>
      <c r="U3" s="84"/>
      <c r="V3" s="84"/>
      <c r="W3" s="84"/>
      <c r="X3" s="84"/>
      <c r="Y3" s="84"/>
      <c r="AA3" s="84"/>
      <c r="AB3" s="84"/>
      <c r="AC3" s="84"/>
      <c r="AD3" s="84"/>
      <c r="AE3" s="84"/>
      <c r="AF3" s="84"/>
      <c r="AH3" s="84"/>
      <c r="AI3" s="84"/>
      <c r="AJ3" s="84"/>
      <c r="AK3" s="84"/>
      <c r="AL3" s="84"/>
      <c r="AM3" s="84"/>
    </row>
    <row r="4" spans="1:39" ht="60" x14ac:dyDescent="0.25">
      <c r="A4" s="11" t="s">
        <v>1</v>
      </c>
      <c r="B4" s="11" t="s">
        <v>21</v>
      </c>
      <c r="C4" s="12" t="s">
        <v>29</v>
      </c>
      <c r="D4" s="11" t="s">
        <v>30</v>
      </c>
      <c r="E4" s="11" t="s">
        <v>31</v>
      </c>
      <c r="F4" s="16" t="s">
        <v>32</v>
      </c>
      <c r="G4" s="16" t="s">
        <v>32</v>
      </c>
      <c r="H4" s="16" t="s">
        <v>43</v>
      </c>
      <c r="I4" s="16" t="s">
        <v>86</v>
      </c>
      <c r="J4" s="16" t="s">
        <v>87</v>
      </c>
      <c r="K4" s="74" t="s">
        <v>92</v>
      </c>
      <c r="L4" s="12" t="s">
        <v>29</v>
      </c>
      <c r="M4" s="11" t="s">
        <v>101</v>
      </c>
      <c r="N4" s="11" t="s">
        <v>102</v>
      </c>
      <c r="O4" s="16" t="s">
        <v>43</v>
      </c>
      <c r="P4" s="16" t="s">
        <v>86</v>
      </c>
      <c r="Q4" s="16" t="s">
        <v>87</v>
      </c>
      <c r="R4" s="74" t="s">
        <v>93</v>
      </c>
      <c r="S4" s="12" t="s">
        <v>29</v>
      </c>
      <c r="T4" s="11" t="s">
        <v>104</v>
      </c>
      <c r="U4" s="11" t="s">
        <v>105</v>
      </c>
      <c r="V4" s="16" t="s">
        <v>43</v>
      </c>
      <c r="W4" s="16" t="s">
        <v>86</v>
      </c>
      <c r="X4" s="16" t="s">
        <v>87</v>
      </c>
      <c r="Y4" s="74" t="s">
        <v>94</v>
      </c>
      <c r="Z4" s="12" t="s">
        <v>29</v>
      </c>
      <c r="AA4" s="11" t="s">
        <v>106</v>
      </c>
      <c r="AB4" s="11" t="s">
        <v>107</v>
      </c>
      <c r="AC4" s="16" t="s">
        <v>43</v>
      </c>
      <c r="AD4" s="16" t="s">
        <v>86</v>
      </c>
      <c r="AE4" s="16" t="s">
        <v>87</v>
      </c>
      <c r="AF4" s="74" t="s">
        <v>95</v>
      </c>
      <c r="AG4" s="12" t="s">
        <v>29</v>
      </c>
      <c r="AH4" s="11" t="s">
        <v>108</v>
      </c>
      <c r="AI4" s="11" t="s">
        <v>109</v>
      </c>
      <c r="AJ4" s="16" t="s">
        <v>43</v>
      </c>
      <c r="AK4" s="16" t="s">
        <v>86</v>
      </c>
      <c r="AL4" s="16" t="s">
        <v>87</v>
      </c>
      <c r="AM4" s="74" t="s">
        <v>96</v>
      </c>
    </row>
    <row r="5" spans="1:39" x14ac:dyDescent="0.25">
      <c r="A5" t="s">
        <v>2</v>
      </c>
      <c r="B5" t="s">
        <v>18</v>
      </c>
      <c r="C5" s="14">
        <v>3.4242730436734301E-2</v>
      </c>
      <c r="E5">
        <f>E$20*$C5</f>
        <v>16926.030370494696</v>
      </c>
      <c r="F5" s="17">
        <v>243.88196721312318</v>
      </c>
      <c r="G5" s="17">
        <f>F5*80/160</f>
        <v>121.94098360656157</v>
      </c>
      <c r="H5" s="69">
        <f>$G5*E5</f>
        <v>2063976.7919326571</v>
      </c>
      <c r="I5" s="71">
        <v>18</v>
      </c>
      <c r="J5" s="72">
        <f>H5*$I5</f>
        <v>37151582.254787825</v>
      </c>
      <c r="K5" s="75">
        <f>J5/J$23*100</f>
        <v>0.2004356229351256</v>
      </c>
      <c r="L5" s="14">
        <f>C5</f>
        <v>3.4242730436734301E-2</v>
      </c>
      <c r="N5">
        <f>N$20*$L5</f>
        <v>16009.414450615899</v>
      </c>
      <c r="O5" s="69">
        <f>$G5*N5</f>
        <v>1952203.7450732032</v>
      </c>
      <c r="P5">
        <v>21</v>
      </c>
      <c r="Q5" s="72">
        <f>O5*$P5</f>
        <v>40996278.646537267</v>
      </c>
      <c r="R5" s="75">
        <f>Q5/Q$23*100</f>
        <v>0.24586517823316878</v>
      </c>
      <c r="S5" s="14">
        <f>L5</f>
        <v>3.4242730436734301E-2</v>
      </c>
      <c r="U5">
        <f>U$20*$S5</f>
        <v>14931.381328179561</v>
      </c>
      <c r="V5" s="69">
        <f>$G5*U5</f>
        <v>1820747.3257628635</v>
      </c>
      <c r="W5" s="69">
        <f t="shared" ref="W5:W10" si="0">P5</f>
        <v>21</v>
      </c>
      <c r="X5" s="72">
        <f>V5*$W5</f>
        <v>38235693.841020137</v>
      </c>
      <c r="Y5" s="75">
        <f>X5/X$23*100</f>
        <v>0.2738923307815358</v>
      </c>
      <c r="Z5" s="14">
        <f>S5</f>
        <v>3.4242730436734301E-2</v>
      </c>
      <c r="AB5">
        <f>AB$20*$Z5</f>
        <v>14315.275790822452</v>
      </c>
      <c r="AC5" s="69">
        <f>$G5*AB5</f>
        <v>1745618.8105320884</v>
      </c>
      <c r="AD5" s="69">
        <f t="shared" ref="AD5:AD10" si="1">W5</f>
        <v>21</v>
      </c>
      <c r="AE5" s="72">
        <f>AC5*$AD5</f>
        <v>36657995.021173857</v>
      </c>
      <c r="AF5" s="75">
        <f>AE5/AE$23*100</f>
        <v>0.31566979953319946</v>
      </c>
      <c r="AG5" s="14">
        <f>Z5</f>
        <v>3.4242730436734301E-2</v>
      </c>
      <c r="AI5">
        <f>AI$20*$AG5</f>
        <v>13652.734662592373</v>
      </c>
      <c r="AJ5" s="69">
        <f>$G5*AI5</f>
        <v>1664827.8936759115</v>
      </c>
      <c r="AK5" s="69">
        <f t="shared" ref="AK5:AK10" si="2">AD5</f>
        <v>21</v>
      </c>
      <c r="AL5" s="72">
        <f>AJ5*$AK5</f>
        <v>34961385.767194144</v>
      </c>
      <c r="AM5" s="75">
        <f>AL5/AL$23*100</f>
        <v>0.35200939515430402</v>
      </c>
    </row>
    <row r="6" spans="1:39" x14ac:dyDescent="0.25">
      <c r="B6" t="s">
        <v>19</v>
      </c>
      <c r="C6" s="14">
        <v>0.4751272946065358</v>
      </c>
      <c r="E6">
        <f>E$21*$C6</f>
        <v>1123440.1477167939</v>
      </c>
      <c r="F6" s="17">
        <v>355.47039550898205</v>
      </c>
      <c r="G6" s="17">
        <f>F6*80/160</f>
        <v>177.73519775449103</v>
      </c>
      <c r="H6" s="69">
        <f>$G6*E6</f>
        <v>199674856.81977898</v>
      </c>
      <c r="I6" s="71">
        <v>18</v>
      </c>
      <c r="J6" s="72">
        <f t="shared" ref="J6:J19" si="3">H6*I6</f>
        <v>3594147422.7560215</v>
      </c>
      <c r="K6" s="75">
        <f t="shared" ref="K6:K23" si="4">J6/J$23*100</f>
        <v>19.390699773168883</v>
      </c>
      <c r="L6" s="14">
        <f t="shared" ref="L6:L19" si="5">C6</f>
        <v>0.4751272946065358</v>
      </c>
      <c r="N6">
        <f>N$21*$L6</f>
        <v>1092467.3352790494</v>
      </c>
      <c r="O6" s="69">
        <f>$G6*N6</f>
        <v>194169897.87614369</v>
      </c>
      <c r="P6">
        <v>21</v>
      </c>
      <c r="Q6" s="72">
        <f>O6*$P6</f>
        <v>4077567855.3990173</v>
      </c>
      <c r="R6" s="75">
        <f t="shared" ref="R6:R23" si="6">Q6/Q$23*100</f>
        <v>24.45421830037731</v>
      </c>
      <c r="S6" s="14">
        <f t="shared" ref="S6:S19" si="7">L6</f>
        <v>0.4751272946065358</v>
      </c>
      <c r="U6">
        <f>U$21*$S6</f>
        <v>1085387.5687030442</v>
      </c>
      <c r="V6" s="69">
        <f>$G6*U6</f>
        <v>192911574.16370177</v>
      </c>
      <c r="W6" s="69">
        <f t="shared" si="0"/>
        <v>21</v>
      </c>
      <c r="X6" s="72">
        <f t="shared" ref="X6:X19" si="8">V6*$W6</f>
        <v>4051143057.4377375</v>
      </c>
      <c r="Y6" s="75">
        <f t="shared" ref="Y6:Y23" si="9">X6/X$23*100</f>
        <v>29.019403151007534</v>
      </c>
      <c r="Z6" s="14">
        <f t="shared" ref="Z6:Z19" si="10">S6</f>
        <v>0.4751272946065358</v>
      </c>
      <c r="AB6">
        <f>AB$21*$Z6</f>
        <v>1007587.6277125048</v>
      </c>
      <c r="AC6" s="69">
        <f>$G6*AB6</f>
        <v>179083786.26646054</v>
      </c>
      <c r="AD6" s="69">
        <f t="shared" si="1"/>
        <v>21</v>
      </c>
      <c r="AE6" s="72">
        <f t="shared" ref="AE6:AE19" si="11">AC6*$AD6</f>
        <v>3760759511.5956712</v>
      </c>
      <c r="AF6" s="75">
        <f t="shared" ref="AF6:AF23" si="12">AE6/AE$23*100</f>
        <v>32.38470081171296</v>
      </c>
      <c r="AG6" s="14">
        <f t="shared" ref="AG6:AG19" si="13">Z6</f>
        <v>0.4751272946065358</v>
      </c>
      <c r="AI6">
        <f>AI$21*$AG6</f>
        <v>940161.09826550586</v>
      </c>
      <c r="AJ6" s="69">
        <f>$G6*AI6</f>
        <v>167099718.72129914</v>
      </c>
      <c r="AK6" s="69">
        <f t="shared" si="2"/>
        <v>21</v>
      </c>
      <c r="AL6" s="72">
        <f t="shared" ref="AL6:AL19" si="14">AJ6*$AK6</f>
        <v>3509094093.1472821</v>
      </c>
      <c r="AM6" s="75">
        <f t="shared" ref="AM6:AM23" si="15">AL6/AL$23*100</f>
        <v>35.331382385517223</v>
      </c>
    </row>
    <row r="7" spans="1:39" x14ac:dyDescent="0.25">
      <c r="B7" t="s">
        <v>20</v>
      </c>
      <c r="C7" s="14">
        <v>0.29173060528559069</v>
      </c>
      <c r="E7">
        <f>E$22*$C7</f>
        <v>242128.79551150746</v>
      </c>
      <c r="F7" s="17">
        <v>364.19403857394053</v>
      </c>
      <c r="G7" s="17">
        <f>F7*80/160</f>
        <v>182.09701928697027</v>
      </c>
      <c r="H7" s="69">
        <f>$G7*E7</f>
        <v>44090931.946189851</v>
      </c>
      <c r="I7" s="71">
        <v>18</v>
      </c>
      <c r="J7" s="72">
        <f t="shared" si="3"/>
        <v>793636775.03141737</v>
      </c>
      <c r="K7" s="75">
        <f t="shared" si="4"/>
        <v>4.2817309986076326</v>
      </c>
      <c r="L7" s="14">
        <f t="shared" si="5"/>
        <v>0.29173060528559069</v>
      </c>
      <c r="N7">
        <f>N$22*$L7</f>
        <v>310794.99692327995</v>
      </c>
      <c r="O7" s="69">
        <f>$G7*N7</f>
        <v>56594842.549032375</v>
      </c>
      <c r="P7">
        <v>21</v>
      </c>
      <c r="Q7" s="72">
        <f>O7*$P7</f>
        <v>1188491693.5296798</v>
      </c>
      <c r="R7" s="75">
        <f t="shared" si="6"/>
        <v>7.1276889441036273</v>
      </c>
      <c r="S7" s="14">
        <f t="shared" si="7"/>
        <v>0.29173060528559069</v>
      </c>
      <c r="U7">
        <f>U$22*$S7</f>
        <v>333216.77788413787</v>
      </c>
      <c r="V7" s="69">
        <f>$G7*U7</f>
        <v>60677782.02910994</v>
      </c>
      <c r="W7" s="69">
        <f t="shared" si="0"/>
        <v>21</v>
      </c>
      <c r="X7" s="72">
        <f t="shared" si="8"/>
        <v>1274233422.6113088</v>
      </c>
      <c r="Y7" s="75">
        <f t="shared" si="9"/>
        <v>9.1276691232506639</v>
      </c>
      <c r="Z7" s="14">
        <f t="shared" si="10"/>
        <v>0.29173060528559069</v>
      </c>
      <c r="AB7">
        <f>AB$22*$Z7</f>
        <v>368093.98772280791</v>
      </c>
      <c r="AC7" s="69">
        <f>$G7*AB7</f>
        <v>67028817.981777951</v>
      </c>
      <c r="AD7" s="69">
        <f t="shared" si="1"/>
        <v>21</v>
      </c>
      <c r="AE7" s="72">
        <f t="shared" si="11"/>
        <v>1407605177.617337</v>
      </c>
      <c r="AF7" s="75">
        <f t="shared" si="12"/>
        <v>12.121187860484623</v>
      </c>
      <c r="AG7" s="14">
        <f t="shared" si="13"/>
        <v>0.29173060528559069</v>
      </c>
      <c r="AI7">
        <f>AI$22*$AG7</f>
        <v>384483.50856652076</v>
      </c>
      <c r="AJ7" s="69">
        <f>$G7*AI7</f>
        <v>70013300.874959722</v>
      </c>
      <c r="AK7" s="69">
        <f t="shared" si="2"/>
        <v>21</v>
      </c>
      <c r="AL7" s="72">
        <f t="shared" si="14"/>
        <v>1470279318.3741541</v>
      </c>
      <c r="AM7" s="75">
        <f t="shared" si="15"/>
        <v>14.803536021573008</v>
      </c>
    </row>
    <row r="8" spans="1:39" x14ac:dyDescent="0.25">
      <c r="A8" t="s">
        <v>3</v>
      </c>
      <c r="B8" t="s">
        <v>18</v>
      </c>
      <c r="C8" s="14">
        <v>1.7102653343812824E-2</v>
      </c>
      <c r="E8">
        <f>E$20*C8</f>
        <v>8453.7659883242068</v>
      </c>
      <c r="F8" s="17">
        <v>52.04157549233819</v>
      </c>
      <c r="G8" s="17"/>
      <c r="H8" s="69">
        <f>$F8*E8</f>
        <v>439947.30087593518</v>
      </c>
      <c r="I8" s="71">
        <v>48</v>
      </c>
      <c r="J8" s="72">
        <f t="shared" si="3"/>
        <v>21117470.442044888</v>
      </c>
      <c r="K8" s="75">
        <f t="shared" si="4"/>
        <v>0.11393036543739374</v>
      </c>
      <c r="L8" s="14">
        <f>C8+0.05</f>
        <v>6.7102653343812824E-2</v>
      </c>
      <c r="N8">
        <f>N$20*$L8</f>
        <v>31372.328503473127</v>
      </c>
      <c r="O8" s="69">
        <f>$F8*N8</f>
        <v>1632665.4021839299</v>
      </c>
      <c r="P8">
        <v>56</v>
      </c>
      <c r="Q8" s="72">
        <f t="shared" ref="Q8:Q19" si="16">O8*$P8</f>
        <v>91429262.522300079</v>
      </c>
      <c r="R8" s="75">
        <f t="shared" si="6"/>
        <v>0.54832469355535496</v>
      </c>
      <c r="S8" s="14">
        <f>L8+0.05</f>
        <v>0.11710265334381283</v>
      </c>
      <c r="U8">
        <f>U$20*$S8</f>
        <v>51062.060452467937</v>
      </c>
      <c r="V8" s="69">
        <f>$F8*U8</f>
        <v>2657350.0738314465</v>
      </c>
      <c r="W8" s="69">
        <f t="shared" si="0"/>
        <v>56</v>
      </c>
      <c r="X8" s="72">
        <f t="shared" si="8"/>
        <v>148811604.134561</v>
      </c>
      <c r="Y8" s="75">
        <f t="shared" si="9"/>
        <v>1.0659766571315004</v>
      </c>
      <c r="Z8" s="14">
        <f>S8+0.05</f>
        <v>0.16710265334381283</v>
      </c>
      <c r="AB8">
        <f>AB$20*$Z8</f>
        <v>69857.763603707965</v>
      </c>
      <c r="AC8" s="69">
        <f>$F8*AB8</f>
        <v>3635508.0783082834</v>
      </c>
      <c r="AD8" s="69">
        <f t="shared" si="1"/>
        <v>56</v>
      </c>
      <c r="AE8" s="72">
        <f t="shared" si="11"/>
        <v>203588452.38526386</v>
      </c>
      <c r="AF8" s="75">
        <f t="shared" si="12"/>
        <v>1.7531435070196759</v>
      </c>
      <c r="AG8" s="14">
        <f>Z8+0.05</f>
        <v>0.21710265334381285</v>
      </c>
      <c r="AI8">
        <f>AI$20*$AG8</f>
        <v>86559.829862987055</v>
      </c>
      <c r="AJ8" s="69">
        <f>$F8*AI8</f>
        <v>4504709.9204185903</v>
      </c>
      <c r="AK8" s="69">
        <f t="shared" si="2"/>
        <v>56</v>
      </c>
      <c r="AL8" s="72">
        <f t="shared" si="14"/>
        <v>252263755.54344106</v>
      </c>
      <c r="AM8" s="75">
        <f t="shared" si="15"/>
        <v>2.5399225476789944</v>
      </c>
    </row>
    <row r="9" spans="1:39" x14ac:dyDescent="0.25">
      <c r="B9" t="s">
        <v>19</v>
      </c>
      <c r="C9" s="14">
        <v>3.7157935282887841E-2</v>
      </c>
      <c r="E9">
        <f>E$21*C9</f>
        <v>87860.06776905623</v>
      </c>
      <c r="F9" s="17">
        <v>62.559246368038707</v>
      </c>
      <c r="G9" s="17"/>
      <c r="H9" s="69">
        <f t="shared" ref="H9:H19" si="17">$F9*E9</f>
        <v>5496459.6254769657</v>
      </c>
      <c r="I9" s="71">
        <v>48</v>
      </c>
      <c r="J9" s="72">
        <f t="shared" si="3"/>
        <v>263830062.02289435</v>
      </c>
      <c r="K9" s="75">
        <f t="shared" si="4"/>
        <v>1.4233833290843687</v>
      </c>
      <c r="L9" s="14">
        <f>C9+0.05</f>
        <v>8.7157935282887844E-2</v>
      </c>
      <c r="N9">
        <f>N$21*$L9</f>
        <v>200403.55161193581</v>
      </c>
      <c r="O9" s="69">
        <f t="shared" ref="O9:O19" si="18">$F9*N9</f>
        <v>12537095.158321053</v>
      </c>
      <c r="P9">
        <v>56</v>
      </c>
      <c r="Q9" s="72">
        <f t="shared" si="16"/>
        <v>702077328.86597896</v>
      </c>
      <c r="R9" s="75">
        <f t="shared" si="6"/>
        <v>4.2105374754467118</v>
      </c>
      <c r="S9" s="14">
        <f>L9+0.05</f>
        <v>0.13715793528288783</v>
      </c>
      <c r="U9">
        <f>U$21*$S9</f>
        <v>313325.54369099229</v>
      </c>
      <c r="V9" s="69">
        <f t="shared" ref="V9:V19" si="19">$F9*U9</f>
        <v>19601409.881164461</v>
      </c>
      <c r="W9" s="69">
        <f t="shared" si="0"/>
        <v>56</v>
      </c>
      <c r="X9" s="72">
        <f t="shared" si="8"/>
        <v>1097678953.3452098</v>
      </c>
      <c r="Y9" s="75">
        <f t="shared" si="9"/>
        <v>7.8629630269456854</v>
      </c>
      <c r="Z9" s="14">
        <f>S9+0.05</f>
        <v>0.18715793528288782</v>
      </c>
      <c r="AB9">
        <f>AB$21*$Z9</f>
        <v>396899.99324375036</v>
      </c>
      <c r="AC9" s="69">
        <f t="shared" ref="AC9:AC19" si="20">$F9*AB9</f>
        <v>24829764.460808676</v>
      </c>
      <c r="AD9" s="69">
        <f t="shared" si="1"/>
        <v>56</v>
      </c>
      <c r="AE9" s="72">
        <f t="shared" si="11"/>
        <v>1390466809.8052859</v>
      </c>
      <c r="AF9" s="75">
        <f t="shared" si="12"/>
        <v>11.97360572653454</v>
      </c>
      <c r="AG9" s="14">
        <f>Z9+0.05</f>
        <v>0.23715793528288781</v>
      </c>
      <c r="AI9">
        <f>AI$21*$AG9</f>
        <v>469277.74394140748</v>
      </c>
      <c r="AJ9" s="69">
        <f t="shared" ref="AJ9:AJ19" si="21">$F9*AI9</f>
        <v>29357661.998267893</v>
      </c>
      <c r="AK9" s="69">
        <f t="shared" si="2"/>
        <v>56</v>
      </c>
      <c r="AL9" s="72">
        <f t="shared" si="14"/>
        <v>1644029071.903002</v>
      </c>
      <c r="AM9" s="75">
        <f t="shared" si="15"/>
        <v>16.552938807125344</v>
      </c>
    </row>
    <row r="10" spans="1:39" x14ac:dyDescent="0.25">
      <c r="B10" t="s">
        <v>20</v>
      </c>
      <c r="C10" s="14">
        <v>9.0010075176316123E-2</v>
      </c>
      <c r="E10">
        <f>E$22*C10</f>
        <v>74706.01538363217</v>
      </c>
      <c r="F10" s="17">
        <v>60.195970380574359</v>
      </c>
      <c r="G10" s="17"/>
      <c r="H10" s="69">
        <f t="shared" si="17"/>
        <v>4497001.0892838547</v>
      </c>
      <c r="I10" s="71">
        <v>48</v>
      </c>
      <c r="J10" s="72">
        <f t="shared" si="3"/>
        <v>215856052.28562504</v>
      </c>
      <c r="K10" s="75">
        <f t="shared" si="4"/>
        <v>1.1645598835460256</v>
      </c>
      <c r="L10" s="14">
        <f>C10+0.05</f>
        <v>0.14001007517631614</v>
      </c>
      <c r="N10">
        <f>N$22*$L10</f>
        <v>149159.63596295551</v>
      </c>
      <c r="O10" s="69">
        <f t="shared" si="18"/>
        <v>8978809.0284033231</v>
      </c>
      <c r="P10">
        <v>56</v>
      </c>
      <c r="Q10" s="72">
        <f t="shared" si="16"/>
        <v>502813305.59058607</v>
      </c>
      <c r="R10" s="75">
        <f t="shared" si="6"/>
        <v>3.0155001155813461</v>
      </c>
      <c r="S10" s="14">
        <f>L10+0.05</f>
        <v>0.19001007517631613</v>
      </c>
      <c r="U10">
        <f>U$22*$S10</f>
        <v>217030.86295588655</v>
      </c>
      <c r="V10" s="69">
        <f t="shared" si="19"/>
        <v>13064383.398163039</v>
      </c>
      <c r="W10" s="69">
        <f t="shared" si="0"/>
        <v>56</v>
      </c>
      <c r="X10" s="72">
        <f t="shared" si="8"/>
        <v>731605470.29713023</v>
      </c>
      <c r="Y10" s="75">
        <f t="shared" si="9"/>
        <v>5.2406823923574031</v>
      </c>
      <c r="Z10" s="14">
        <f>S10+0.05</f>
        <v>0.24001007517631612</v>
      </c>
      <c r="AB10">
        <f>AB$22*$Z10</f>
        <v>302835.0953401486</v>
      </c>
      <c r="AC10" s="69">
        <f t="shared" si="20"/>
        <v>18229452.429293998</v>
      </c>
      <c r="AD10" s="69">
        <f t="shared" si="1"/>
        <v>56</v>
      </c>
      <c r="AE10" s="72">
        <f t="shared" si="11"/>
        <v>1020849336.0404639</v>
      </c>
      <c r="AF10" s="75">
        <f t="shared" si="12"/>
        <v>8.7907509692049128</v>
      </c>
      <c r="AG10" s="14">
        <f>Z10+0.05</f>
        <v>0.29001007517631611</v>
      </c>
      <c r="AI10">
        <f>AI$22*$AG10</f>
        <v>382215.95267412259</v>
      </c>
      <c r="AJ10" s="69">
        <f t="shared" si="21"/>
        <v>23007860.166154493</v>
      </c>
      <c r="AK10" s="69">
        <f t="shared" si="2"/>
        <v>56</v>
      </c>
      <c r="AL10" s="72">
        <f t="shared" si="14"/>
        <v>1288440169.3046515</v>
      </c>
      <c r="AM10" s="75">
        <f t="shared" si="15"/>
        <v>12.972684999088893</v>
      </c>
    </row>
    <row r="11" spans="1:39" x14ac:dyDescent="0.25">
      <c r="A11" t="s">
        <v>4</v>
      </c>
      <c r="B11" t="s">
        <v>18</v>
      </c>
      <c r="C11" s="14">
        <v>0.29942741663861017</v>
      </c>
      <c r="E11">
        <f>E$20*C11</f>
        <v>148005.64917413832</v>
      </c>
      <c r="F11" s="17">
        <v>40.686914135729978</v>
      </c>
      <c r="G11" s="17"/>
      <c r="H11" s="69">
        <f t="shared" si="17"/>
        <v>6021893.1395511404</v>
      </c>
      <c r="I11" s="71">
        <v>167</v>
      </c>
      <c r="J11" s="72">
        <f t="shared" si="3"/>
        <v>1005656154.3050405</v>
      </c>
      <c r="K11" s="75">
        <f t="shared" si="4"/>
        <v>5.4255917383087171</v>
      </c>
      <c r="L11" s="14">
        <f>C11-0.05</f>
        <v>0.24942741663861018</v>
      </c>
      <c r="N11">
        <f>N$20*$L11</f>
        <v>116614.14955479774</v>
      </c>
      <c r="O11" s="69">
        <f t="shared" si="18"/>
        <v>4744669.88994723</v>
      </c>
      <c r="P11" s="69">
        <f>I11+$D35</f>
        <v>139</v>
      </c>
      <c r="Q11" s="72">
        <f t="shared" si="16"/>
        <v>659509114.70266497</v>
      </c>
      <c r="R11" s="75">
        <f t="shared" si="6"/>
        <v>3.9552449974984749</v>
      </c>
      <c r="S11" s="14">
        <f>L11-0.05</f>
        <v>0.19942741663861019</v>
      </c>
      <c r="U11">
        <f>U$20*$S11</f>
        <v>86959.385748352521</v>
      </c>
      <c r="V11" s="69">
        <f t="shared" si="19"/>
        <v>3538109.06123904</v>
      </c>
      <c r="W11" s="69">
        <f>P11+$D35</f>
        <v>111</v>
      </c>
      <c r="X11" s="72">
        <f t="shared" si="8"/>
        <v>392730105.79753345</v>
      </c>
      <c r="Y11" s="75">
        <f t="shared" si="9"/>
        <v>2.8132290339025192</v>
      </c>
      <c r="Z11" s="14">
        <f>S11-0.05</f>
        <v>0.1494274166386102</v>
      </c>
      <c r="AB11">
        <f>AB$20*$Z11</f>
        <v>62468.578078023151</v>
      </c>
      <c r="AC11" s="69">
        <f t="shared" si="20"/>
        <v>2541653.6724416721</v>
      </c>
      <c r="AD11" s="69">
        <f>W11+$D35</f>
        <v>83</v>
      </c>
      <c r="AE11" s="72">
        <f t="shared" si="11"/>
        <v>210957254.81265879</v>
      </c>
      <c r="AF11" s="75">
        <f t="shared" si="12"/>
        <v>1.8165978335236743</v>
      </c>
      <c r="AG11" s="14">
        <f>Z11-0.05</f>
        <v>9.9427416638610197E-2</v>
      </c>
      <c r="AI11">
        <f>AI$20*$AG11</f>
        <v>39642.169892437654</v>
      </c>
      <c r="AJ11" s="69">
        <f t="shared" si="21"/>
        <v>1612917.562567631</v>
      </c>
      <c r="AK11" s="69">
        <f>AD11+$D35</f>
        <v>55</v>
      </c>
      <c r="AL11" s="72">
        <f t="shared" si="14"/>
        <v>88710465.941219702</v>
      </c>
      <c r="AM11" s="75">
        <f t="shared" si="15"/>
        <v>0.89318305823926658</v>
      </c>
    </row>
    <row r="12" spans="1:39" x14ac:dyDescent="0.25">
      <c r="B12" t="s">
        <v>19</v>
      </c>
      <c r="C12" s="14">
        <v>0.28458603597143833</v>
      </c>
      <c r="E12">
        <f>E$21*C12</f>
        <v>672904.67611348955</v>
      </c>
      <c r="F12" s="17">
        <v>77.270393898379339</v>
      </c>
      <c r="G12" s="17"/>
      <c r="H12" s="69">
        <f t="shared" si="17"/>
        <v>51995609.379350707</v>
      </c>
      <c r="I12" s="71">
        <v>167</v>
      </c>
      <c r="J12" s="72">
        <f t="shared" si="3"/>
        <v>8683266766.3515682</v>
      </c>
      <c r="K12" s="75">
        <f t="shared" si="4"/>
        <v>46.846887206298071</v>
      </c>
      <c r="L12" s="14">
        <f>C12-0.05</f>
        <v>0.23458603597143834</v>
      </c>
      <c r="N12">
        <f>N$21*$L12</f>
        <v>539387.20111548644</v>
      </c>
      <c r="O12" s="69">
        <f t="shared" si="18"/>
        <v>41678661.493937992</v>
      </c>
      <c r="P12" s="69">
        <f>I12+$D36</f>
        <v>139</v>
      </c>
      <c r="Q12" s="72">
        <f t="shared" si="16"/>
        <v>5793333947.6573811</v>
      </c>
      <c r="R12" s="75">
        <f t="shared" si="6"/>
        <v>34.744106797736357</v>
      </c>
      <c r="S12" s="14">
        <f>L12-0.05</f>
        <v>0.18458603597143836</v>
      </c>
      <c r="U12">
        <f>U$21*$S12</f>
        <v>421670.97338721523</v>
      </c>
      <c r="V12" s="69">
        <f t="shared" si="19"/>
        <v>32582682.209143151</v>
      </c>
      <c r="W12" s="69">
        <f>P12+$D36</f>
        <v>111</v>
      </c>
      <c r="X12" s="72">
        <f t="shared" si="8"/>
        <v>3616677725.2148895</v>
      </c>
      <c r="Y12" s="75">
        <f t="shared" si="9"/>
        <v>25.907213714062422</v>
      </c>
      <c r="Z12" s="14">
        <f>S12-0.05</f>
        <v>0.13458603597143837</v>
      </c>
      <c r="AB12">
        <f>AB$21*$Z12</f>
        <v>285412.40683718451</v>
      </c>
      <c r="AC12" s="69">
        <f t="shared" si="20"/>
        <v>22053929.099793743</v>
      </c>
      <c r="AD12" s="69">
        <f>W12+$D36</f>
        <v>83</v>
      </c>
      <c r="AE12" s="72">
        <f t="shared" si="11"/>
        <v>1830476115.2828808</v>
      </c>
      <c r="AF12" s="75">
        <f t="shared" si="12"/>
        <v>15.762619533007772</v>
      </c>
      <c r="AG12" s="14">
        <f>Z12-0.05</f>
        <v>8.4586035971438364E-2</v>
      </c>
      <c r="AI12">
        <f>AI$21*$AG12</f>
        <v>167375.14636512139</v>
      </c>
      <c r="AJ12" s="69">
        <f t="shared" si="21"/>
        <v>12933143.488431824</v>
      </c>
      <c r="AK12" s="69">
        <f>AD12+$D36</f>
        <v>55</v>
      </c>
      <c r="AL12" s="72">
        <f t="shared" si="14"/>
        <v>711322891.86375034</v>
      </c>
      <c r="AM12" s="75">
        <f t="shared" si="15"/>
        <v>7.1619684240126338</v>
      </c>
    </row>
    <row r="13" spans="1:39" x14ac:dyDescent="0.25">
      <c r="B13" t="s">
        <v>20</v>
      </c>
      <c r="C13" s="14">
        <v>0.36693792141361981</v>
      </c>
      <c r="E13">
        <f>E$22*C13</f>
        <v>304548.90686700359</v>
      </c>
      <c r="F13" s="17">
        <v>77.089701347528006</v>
      </c>
      <c r="G13" s="17"/>
      <c r="H13" s="69">
        <f t="shared" si="17"/>
        <v>23477584.276093427</v>
      </c>
      <c r="I13" s="71">
        <v>167</v>
      </c>
      <c r="J13" s="72">
        <f t="shared" si="3"/>
        <v>3920756574.1076021</v>
      </c>
      <c r="K13" s="75">
        <f t="shared" si="4"/>
        <v>21.152781082613792</v>
      </c>
      <c r="L13" s="14">
        <f>C13-0.05</f>
        <v>0.31693792141361982</v>
      </c>
      <c r="N13">
        <f>N$22*$L13</f>
        <v>337649.593583735</v>
      </c>
      <c r="O13" s="69">
        <f t="shared" si="18"/>
        <v>26029306.32948434</v>
      </c>
      <c r="P13" s="69">
        <f>I13+$D37</f>
        <v>139</v>
      </c>
      <c r="Q13" s="72">
        <f t="shared" si="16"/>
        <v>3618073579.7983232</v>
      </c>
      <c r="R13" s="75">
        <f t="shared" si="6"/>
        <v>21.698513497467651</v>
      </c>
      <c r="S13" s="14">
        <f>L13-0.05</f>
        <v>0.26693792141361983</v>
      </c>
      <c r="U13">
        <f>U$22*$S13</f>
        <v>304898.39755228785</v>
      </c>
      <c r="V13" s="69">
        <f t="shared" si="19"/>
        <v>23504526.408645734</v>
      </c>
      <c r="W13" s="69">
        <f>P13+$D37</f>
        <v>111</v>
      </c>
      <c r="X13" s="72">
        <f t="shared" si="8"/>
        <v>2609002431.3596764</v>
      </c>
      <c r="Y13" s="75">
        <f t="shared" si="9"/>
        <v>18.688970570560731</v>
      </c>
      <c r="Z13" s="14">
        <f>S13-0.05</f>
        <v>0.21693792141361984</v>
      </c>
      <c r="AB13">
        <f>AB$22*$Z13</f>
        <v>273723.57625372749</v>
      </c>
      <c r="AC13" s="69">
        <f t="shared" si="20"/>
        <v>21101268.745177161</v>
      </c>
      <c r="AD13" s="69">
        <f>W13+$D37</f>
        <v>83</v>
      </c>
      <c r="AE13" s="72">
        <f t="shared" si="11"/>
        <v>1751405305.8497043</v>
      </c>
      <c r="AF13" s="75">
        <f t="shared" si="12"/>
        <v>15.081723958978655</v>
      </c>
      <c r="AG13" s="14">
        <f>Z13-0.05</f>
        <v>0.16693792141361985</v>
      </c>
      <c r="AI13">
        <f>AI$22*$AG13</f>
        <v>220014.20685730476</v>
      </c>
      <c r="AJ13" s="69">
        <f t="shared" si="21"/>
        <v>16960829.498842873</v>
      </c>
      <c r="AK13" s="69">
        <f>AD13+$D37</f>
        <v>55</v>
      </c>
      <c r="AL13" s="72">
        <f t="shared" si="14"/>
        <v>932845622.43635798</v>
      </c>
      <c r="AM13" s="75">
        <f t="shared" si="15"/>
        <v>9.3923743616103312</v>
      </c>
    </row>
    <row r="14" spans="1:39" x14ac:dyDescent="0.25">
      <c r="A14" t="s">
        <v>5</v>
      </c>
      <c r="B14" t="s">
        <v>18</v>
      </c>
      <c r="C14" s="14">
        <v>0.17671494330301593</v>
      </c>
      <c r="E14">
        <f>E$20*C14</f>
        <v>87349.415748061278</v>
      </c>
      <c r="F14" s="17">
        <v>3.4834109840464751</v>
      </c>
      <c r="G14" s="17"/>
      <c r="H14" s="69">
        <f t="shared" si="17"/>
        <v>304273.91426683881</v>
      </c>
      <c r="I14" s="71">
        <v>0</v>
      </c>
      <c r="J14" s="72">
        <f t="shared" si="3"/>
        <v>0</v>
      </c>
      <c r="K14" s="75">
        <f t="shared" si="4"/>
        <v>0</v>
      </c>
      <c r="L14" s="14">
        <f t="shared" si="5"/>
        <v>0.17671494330301593</v>
      </c>
      <c r="N14">
        <f>N$20*$L14</f>
        <v>82619.076541867078</v>
      </c>
      <c r="O14" s="69">
        <f t="shared" si="18"/>
        <v>287796.19871771627</v>
      </c>
      <c r="P14" s="69">
        <f t="shared" ref="P14:P19" si="22">I14+D38</f>
        <v>0</v>
      </c>
      <c r="Q14" s="72">
        <f t="shared" si="16"/>
        <v>0</v>
      </c>
      <c r="R14" s="75">
        <f t="shared" si="6"/>
        <v>0</v>
      </c>
      <c r="S14" s="14">
        <f t="shared" si="7"/>
        <v>0.17671494330301593</v>
      </c>
      <c r="U14">
        <f>U$20*$S14</f>
        <v>77055.718723130034</v>
      </c>
      <c r="V14" s="69">
        <f t="shared" si="19"/>
        <v>268416.73698374681</v>
      </c>
      <c r="W14" s="69">
        <f t="shared" ref="W14:W19" si="23">P14+K38</f>
        <v>0</v>
      </c>
      <c r="X14" s="72">
        <f t="shared" si="8"/>
        <v>0</v>
      </c>
      <c r="Y14" s="75">
        <f t="shared" si="9"/>
        <v>0</v>
      </c>
      <c r="Z14" s="14">
        <f t="shared" si="10"/>
        <v>0.17671494330301593</v>
      </c>
      <c r="AB14">
        <f>AB$20*$Z14</f>
        <v>73876.210146736281</v>
      </c>
      <c r="AC14" s="69">
        <f t="shared" si="20"/>
        <v>257341.20188486681</v>
      </c>
      <c r="AD14" s="69">
        <f t="shared" ref="AD14:AD19" si="24">W14+R38</f>
        <v>0</v>
      </c>
      <c r="AE14" s="72">
        <f t="shared" si="11"/>
        <v>0</v>
      </c>
      <c r="AF14" s="75">
        <f t="shared" si="12"/>
        <v>0</v>
      </c>
      <c r="AG14" s="14">
        <f t="shared" si="13"/>
        <v>0.17671494330301593</v>
      </c>
      <c r="AI14">
        <f>AI$20*$AG14</f>
        <v>70457.063471870235</v>
      </c>
      <c r="AJ14" s="69">
        <f t="shared" si="21"/>
        <v>245430.90880157246</v>
      </c>
      <c r="AK14" s="69">
        <f t="shared" ref="AK14:AK19" si="25">AD14+Y38</f>
        <v>0</v>
      </c>
      <c r="AL14" s="72">
        <f t="shared" si="14"/>
        <v>0</v>
      </c>
      <c r="AM14" s="75">
        <f t="shared" si="15"/>
        <v>0</v>
      </c>
    </row>
    <row r="15" spans="1:39" x14ac:dyDescent="0.25">
      <c r="B15" t="s">
        <v>19</v>
      </c>
      <c r="C15" s="14">
        <v>0.16498955495387566</v>
      </c>
      <c r="E15">
        <f>E$21*C15</f>
        <v>390118.37899695442</v>
      </c>
      <c r="F15" s="17">
        <v>5.9683633822978219</v>
      </c>
      <c r="G15" s="17"/>
      <c r="H15" s="69">
        <f t="shared" si="17"/>
        <v>2328368.2479668064</v>
      </c>
      <c r="I15" s="71">
        <v>0</v>
      </c>
      <c r="J15" s="72">
        <f t="shared" si="3"/>
        <v>0</v>
      </c>
      <c r="K15" s="75">
        <f t="shared" si="4"/>
        <v>0</v>
      </c>
      <c r="L15" s="14">
        <f t="shared" si="5"/>
        <v>0.16498955495387566</v>
      </c>
      <c r="N15">
        <f>N$21*$L15</f>
        <v>379362.9654524533</v>
      </c>
      <c r="O15" s="69">
        <f t="shared" si="18"/>
        <v>2264176.0316063361</v>
      </c>
      <c r="P15" s="69">
        <f t="shared" si="22"/>
        <v>0</v>
      </c>
      <c r="Q15" s="72">
        <f t="shared" si="16"/>
        <v>0</v>
      </c>
      <c r="R15" s="75">
        <f t="shared" si="6"/>
        <v>0</v>
      </c>
      <c r="S15" s="14">
        <f t="shared" si="7"/>
        <v>0.16498955495387566</v>
      </c>
      <c r="U15">
        <f>U$21*$S15</f>
        <v>376904.49263935222</v>
      </c>
      <c r="V15" s="69">
        <f t="shared" si="19"/>
        <v>2249502.9724922488</v>
      </c>
      <c r="W15" s="69">
        <f t="shared" si="23"/>
        <v>0</v>
      </c>
      <c r="X15" s="72">
        <f t="shared" si="8"/>
        <v>0</v>
      </c>
      <c r="Y15" s="75">
        <f t="shared" si="9"/>
        <v>0</v>
      </c>
      <c r="Z15" s="14">
        <f t="shared" si="10"/>
        <v>0.16498955495387566</v>
      </c>
      <c r="AB15">
        <f>AB$21*$Z15</f>
        <v>349888.20082623541</v>
      </c>
      <c r="AC15" s="69">
        <f t="shared" si="20"/>
        <v>2088259.9257093698</v>
      </c>
      <c r="AD15" s="69">
        <f t="shared" si="24"/>
        <v>0</v>
      </c>
      <c r="AE15" s="72">
        <f t="shared" si="11"/>
        <v>0</v>
      </c>
      <c r="AF15" s="75">
        <f t="shared" si="12"/>
        <v>0</v>
      </c>
      <c r="AG15" s="14">
        <f t="shared" si="13"/>
        <v>0.16498955495387566</v>
      </c>
      <c r="AI15">
        <f>AI$21*$AG15</f>
        <v>326474.1111457902</v>
      </c>
      <c r="AJ15" s="69">
        <f t="shared" si="21"/>
        <v>1948516.1302307635</v>
      </c>
      <c r="AK15" s="69">
        <f t="shared" si="25"/>
        <v>0</v>
      </c>
      <c r="AL15" s="72">
        <f t="shared" si="14"/>
        <v>0</v>
      </c>
      <c r="AM15" s="75">
        <f t="shared" si="15"/>
        <v>0</v>
      </c>
    </row>
    <row r="16" spans="1:39" x14ac:dyDescent="0.25">
      <c r="B16" t="s">
        <v>20</v>
      </c>
      <c r="C16" s="14">
        <v>0.16582965201890887</v>
      </c>
      <c r="E16">
        <f>E$22*C16</f>
        <v>137634.28716751796</v>
      </c>
      <c r="F16" s="17">
        <v>6.2630820520011659</v>
      </c>
      <c r="G16" s="17"/>
      <c r="H16" s="69">
        <f t="shared" si="17"/>
        <v>862014.83369885618</v>
      </c>
      <c r="I16" s="71">
        <v>0</v>
      </c>
      <c r="J16" s="72">
        <f t="shared" si="3"/>
        <v>0</v>
      </c>
      <c r="K16" s="75">
        <f t="shared" si="4"/>
        <v>0</v>
      </c>
      <c r="L16" s="14">
        <f t="shared" si="5"/>
        <v>0.16582965201890887</v>
      </c>
      <c r="N16">
        <f>N$22*$L16</f>
        <v>176666.50414875415</v>
      </c>
      <c r="O16" s="69">
        <f t="shared" si="18"/>
        <v>1106476.8113238516</v>
      </c>
      <c r="P16" s="69">
        <f t="shared" si="22"/>
        <v>0</v>
      </c>
      <c r="Q16" s="72">
        <f t="shared" si="16"/>
        <v>0</v>
      </c>
      <c r="R16" s="75">
        <f t="shared" si="6"/>
        <v>0</v>
      </c>
      <c r="S16" s="14">
        <f t="shared" si="7"/>
        <v>0.16582965201890887</v>
      </c>
      <c r="U16">
        <f>U$22*$S16</f>
        <v>189411.81117865359</v>
      </c>
      <c r="V16" s="69">
        <f t="shared" si="19"/>
        <v>1186301.715030059</v>
      </c>
      <c r="W16" s="69">
        <f t="shared" si="23"/>
        <v>0</v>
      </c>
      <c r="X16" s="72">
        <f t="shared" si="8"/>
        <v>0</v>
      </c>
      <c r="Y16" s="75">
        <f t="shared" si="9"/>
        <v>0</v>
      </c>
      <c r="Z16" s="14">
        <f t="shared" si="10"/>
        <v>0.16582965201890887</v>
      </c>
      <c r="AB16">
        <f>AB$22*$Z16</f>
        <v>209237.20990661762</v>
      </c>
      <c r="AC16" s="69">
        <f t="shared" si="20"/>
        <v>1310469.8139769374</v>
      </c>
      <c r="AD16" s="69">
        <f t="shared" si="24"/>
        <v>0</v>
      </c>
      <c r="AE16" s="72">
        <f t="shared" si="11"/>
        <v>0</v>
      </c>
      <c r="AF16" s="75">
        <f t="shared" si="12"/>
        <v>0</v>
      </c>
      <c r="AG16" s="14">
        <f t="shared" si="13"/>
        <v>0.16582965201890887</v>
      </c>
      <c r="AI16">
        <f>AI$22*$AG16</f>
        <v>218553.57400769947</v>
      </c>
      <c r="AJ16" s="69">
        <f t="shared" si="21"/>
        <v>1368818.9667683311</v>
      </c>
      <c r="AK16" s="69">
        <f t="shared" si="25"/>
        <v>0</v>
      </c>
      <c r="AL16" s="72">
        <f t="shared" si="14"/>
        <v>0</v>
      </c>
      <c r="AM16" s="75">
        <f t="shared" si="15"/>
        <v>0</v>
      </c>
    </row>
    <row r="17" spans="1:39" x14ac:dyDescent="0.25">
      <c r="A17" t="s">
        <v>6</v>
      </c>
      <c r="B17" t="s">
        <v>18</v>
      </c>
      <c r="C17" s="14">
        <v>0.75599715579506344</v>
      </c>
      <c r="E17">
        <f>E$20*C17</f>
        <v>373686.0541140656</v>
      </c>
      <c r="F17" s="17">
        <v>1.1162087685427786</v>
      </c>
      <c r="G17" s="17"/>
      <c r="H17" s="69">
        <f t="shared" si="17"/>
        <v>417111.65028427128</v>
      </c>
      <c r="I17" s="71">
        <v>0</v>
      </c>
      <c r="J17" s="72">
        <f t="shared" si="3"/>
        <v>0</v>
      </c>
      <c r="K17" s="75">
        <f t="shared" si="4"/>
        <v>0</v>
      </c>
      <c r="L17" s="14">
        <f t="shared" si="5"/>
        <v>0.75599715579506344</v>
      </c>
      <c r="N17">
        <f>N$20*$L17</f>
        <v>353449.37848841317</v>
      </c>
      <c r="O17" s="69">
        <f t="shared" si="18"/>
        <v>394523.29550476215</v>
      </c>
      <c r="P17" s="69">
        <f t="shared" si="22"/>
        <v>0</v>
      </c>
      <c r="Q17" s="72">
        <f t="shared" si="16"/>
        <v>0</v>
      </c>
      <c r="R17" s="75">
        <f t="shared" si="6"/>
        <v>0</v>
      </c>
      <c r="S17" s="14">
        <f t="shared" si="7"/>
        <v>0.75599715579506344</v>
      </c>
      <c r="U17">
        <f>U$20*$S17</f>
        <v>329648.99913722533</v>
      </c>
      <c r="V17" s="69">
        <f t="shared" si="19"/>
        <v>367957.1033783218</v>
      </c>
      <c r="W17" s="69">
        <f t="shared" si="23"/>
        <v>0</v>
      </c>
      <c r="X17" s="72">
        <f t="shared" si="8"/>
        <v>0</v>
      </c>
      <c r="Y17" s="75">
        <f t="shared" si="9"/>
        <v>0</v>
      </c>
      <c r="Z17" s="14">
        <f t="shared" si="10"/>
        <v>0.75599715579506344</v>
      </c>
      <c r="AB17">
        <f>AB$20*$Z17</f>
        <v>316046.87021902727</v>
      </c>
      <c r="AC17" s="69">
        <f t="shared" si="20"/>
        <v>352774.2878089798</v>
      </c>
      <c r="AD17" s="69">
        <f t="shared" si="24"/>
        <v>0</v>
      </c>
      <c r="AE17" s="72">
        <f t="shared" si="11"/>
        <v>0</v>
      </c>
      <c r="AF17" s="75">
        <f t="shared" si="12"/>
        <v>0</v>
      </c>
      <c r="AG17" s="14">
        <f t="shared" si="13"/>
        <v>0.75599715579506344</v>
      </c>
      <c r="AI17">
        <f>AI$20*$AG17</f>
        <v>301419.55510276929</v>
      </c>
      <c r="AJ17" s="69">
        <f t="shared" si="21"/>
        <v>336447.15041597432</v>
      </c>
      <c r="AK17" s="69">
        <f t="shared" si="25"/>
        <v>0</v>
      </c>
      <c r="AL17" s="72">
        <f t="shared" si="14"/>
        <v>0</v>
      </c>
      <c r="AM17" s="75">
        <f t="shared" si="15"/>
        <v>0</v>
      </c>
    </row>
    <row r="18" spans="1:39" x14ac:dyDescent="0.25">
      <c r="B18" t="s">
        <v>19</v>
      </c>
      <c r="C18" s="14">
        <v>0.25062768682293074</v>
      </c>
      <c r="E18">
        <f>E$21*C18</f>
        <v>592610.04093532974</v>
      </c>
      <c r="F18" s="17">
        <v>0.92901620279483998</v>
      </c>
      <c r="G18" s="17"/>
      <c r="H18" s="69">
        <f t="shared" si="17"/>
        <v>550544.32996783475</v>
      </c>
      <c r="I18" s="71">
        <v>0</v>
      </c>
      <c r="J18" s="72">
        <f t="shared" si="3"/>
        <v>0</v>
      </c>
      <c r="K18" s="75">
        <f t="shared" si="4"/>
        <v>0</v>
      </c>
      <c r="L18" s="14">
        <f t="shared" si="5"/>
        <v>0.25062768682293074</v>
      </c>
      <c r="N18">
        <f>N$21*$L18</f>
        <v>576272.01021431887</v>
      </c>
      <c r="O18" s="69">
        <f t="shared" si="18"/>
        <v>535366.03470625577</v>
      </c>
      <c r="P18" s="69">
        <f t="shared" si="22"/>
        <v>0</v>
      </c>
      <c r="Q18" s="72">
        <f t="shared" si="16"/>
        <v>0</v>
      </c>
      <c r="R18" s="75">
        <f t="shared" si="6"/>
        <v>0</v>
      </c>
      <c r="S18" s="14">
        <f t="shared" si="7"/>
        <v>0.25062768682293074</v>
      </c>
      <c r="U18">
        <f>U$21*$S18</f>
        <v>572537.46256712487</v>
      </c>
      <c r="V18" s="69">
        <f t="shared" si="19"/>
        <v>531896.5794319032</v>
      </c>
      <c r="W18" s="69">
        <f t="shared" si="23"/>
        <v>0</v>
      </c>
      <c r="X18" s="72">
        <f t="shared" si="8"/>
        <v>0</v>
      </c>
      <c r="Y18" s="75">
        <f t="shared" si="9"/>
        <v>0</v>
      </c>
      <c r="Z18" s="14">
        <f t="shared" si="10"/>
        <v>0.25062768682293074</v>
      </c>
      <c r="AB18">
        <f>AB$21*$Z18</f>
        <v>531498.31481290702</v>
      </c>
      <c r="AC18" s="69">
        <f t="shared" si="20"/>
        <v>493770.54621934332</v>
      </c>
      <c r="AD18" s="69">
        <f t="shared" si="24"/>
        <v>0</v>
      </c>
      <c r="AE18" s="72">
        <f t="shared" si="11"/>
        <v>0</v>
      </c>
      <c r="AF18" s="75">
        <f t="shared" si="12"/>
        <v>0</v>
      </c>
      <c r="AG18" s="14">
        <f t="shared" si="13"/>
        <v>0.25062768682293074</v>
      </c>
      <c r="AI18">
        <f>AI$21*$AG18</f>
        <v>495931.09883177927</v>
      </c>
      <c r="AJ18" s="69">
        <f t="shared" si="21"/>
        <v>460728.02628457209</v>
      </c>
      <c r="AK18" s="69">
        <f t="shared" si="25"/>
        <v>0</v>
      </c>
      <c r="AL18" s="72">
        <f t="shared" si="14"/>
        <v>0</v>
      </c>
      <c r="AM18" s="75">
        <f t="shared" si="15"/>
        <v>0</v>
      </c>
    </row>
    <row r="19" spans="1:39" x14ac:dyDescent="0.25">
      <c r="B19" t="s">
        <v>20</v>
      </c>
      <c r="C19" s="14">
        <v>0.33397659459040341</v>
      </c>
      <c r="E19">
        <f>E$22*C19</f>
        <v>277191.86507033091</v>
      </c>
      <c r="F19" s="17">
        <v>1.1815909776529738</v>
      </c>
      <c r="G19" s="17"/>
      <c r="H19" s="69">
        <f t="shared" si="17"/>
        <v>327527.40684590349</v>
      </c>
      <c r="I19" s="71">
        <v>0</v>
      </c>
      <c r="J19" s="72">
        <f t="shared" si="3"/>
        <v>0</v>
      </c>
      <c r="K19" s="75">
        <f t="shared" si="4"/>
        <v>0</v>
      </c>
      <c r="L19" s="14">
        <f t="shared" si="5"/>
        <v>0.33397659459040341</v>
      </c>
      <c r="N19">
        <f>N$22*$L19</f>
        <v>355801.73217190662</v>
      </c>
      <c r="O19" s="69">
        <f t="shared" si="18"/>
        <v>420412.11656762467</v>
      </c>
      <c r="P19" s="69">
        <f t="shared" si="22"/>
        <v>0</v>
      </c>
      <c r="Q19" s="72">
        <f t="shared" si="16"/>
        <v>0</v>
      </c>
      <c r="R19" s="75">
        <f t="shared" si="6"/>
        <v>0</v>
      </c>
      <c r="S19" s="14">
        <f t="shared" si="7"/>
        <v>0.33397659459040341</v>
      </c>
      <c r="U19">
        <f>U$22*$S19</f>
        <v>381470.44815262628</v>
      </c>
      <c r="V19" s="69">
        <f t="shared" si="19"/>
        <v>450742.03977837978</v>
      </c>
      <c r="W19" s="69">
        <f t="shared" si="23"/>
        <v>0</v>
      </c>
      <c r="X19" s="72">
        <f t="shared" si="8"/>
        <v>0</v>
      </c>
      <c r="Y19" s="75">
        <f t="shared" si="9"/>
        <v>0</v>
      </c>
      <c r="Z19" s="14">
        <f t="shared" si="10"/>
        <v>0.33397659459040341</v>
      </c>
      <c r="AB19">
        <f>AB$22*$Z19</f>
        <v>421398.28417562746</v>
      </c>
      <c r="AC19" s="69">
        <f t="shared" si="20"/>
        <v>497920.41058036534</v>
      </c>
      <c r="AD19" s="69">
        <f t="shared" si="24"/>
        <v>0</v>
      </c>
      <c r="AE19" s="72">
        <f t="shared" si="11"/>
        <v>0</v>
      </c>
      <c r="AF19" s="75">
        <f t="shared" si="12"/>
        <v>0</v>
      </c>
      <c r="AG19" s="14">
        <f t="shared" si="13"/>
        <v>0.33397659459040341</v>
      </c>
      <c r="AI19">
        <f>AI$22*$AG19</f>
        <v>440161.19851912989</v>
      </c>
      <c r="AJ19" s="69">
        <f t="shared" si="21"/>
        <v>520090.50088312337</v>
      </c>
      <c r="AK19" s="69">
        <f t="shared" si="25"/>
        <v>0</v>
      </c>
      <c r="AL19" s="72">
        <f t="shared" si="14"/>
        <v>0</v>
      </c>
      <c r="AM19" s="75">
        <f t="shared" si="15"/>
        <v>0</v>
      </c>
    </row>
    <row r="20" spans="1:39" x14ac:dyDescent="0.25">
      <c r="A20" t="s">
        <v>24</v>
      </c>
      <c r="B20" t="s">
        <v>18</v>
      </c>
      <c r="C20" s="20">
        <v>5.2248436711756628E-2</v>
      </c>
      <c r="D20">
        <f>13.4/100</f>
        <v>0.13400000000000001</v>
      </c>
      <c r="E20" s="21">
        <f>D20*E$23</f>
        <v>494295.58200000005</v>
      </c>
      <c r="F20" s="24">
        <f>(F5+F8+F11+F14+F17)/5</f>
        <v>68.242015318756131</v>
      </c>
      <c r="G20" s="24"/>
      <c r="H20" s="70">
        <f>H5+H8+H11+H14+H17</f>
        <v>9247202.7969108447</v>
      </c>
      <c r="I20" s="24"/>
      <c r="J20" s="70">
        <f>J5+J8+J11+J14+J17</f>
        <v>1063925207.0018733</v>
      </c>
      <c r="K20" s="75">
        <f t="shared" si="4"/>
        <v>5.7399577266812374</v>
      </c>
      <c r="L20" s="20"/>
      <c r="M20" s="80">
        <v>12.2</v>
      </c>
      <c r="N20" s="21">
        <f>M20*N$23/100</f>
        <v>467527.39184144052</v>
      </c>
      <c r="O20" s="70">
        <f>O5+O8+O11+O14+O17</f>
        <v>9011858.5314268414</v>
      </c>
      <c r="P20" s="70"/>
      <c r="Q20" s="70">
        <f>Q5+Q8+Q11+Q14+Q17</f>
        <v>791934655.87150228</v>
      </c>
      <c r="R20" s="75">
        <f t="shared" si="6"/>
        <v>4.7494348692869979</v>
      </c>
      <c r="S20" s="20"/>
      <c r="T20">
        <v>11.3</v>
      </c>
      <c r="U20" s="21">
        <f>T20*U$23/100</f>
        <v>436045.290131471</v>
      </c>
      <c r="V20" s="70">
        <f>V5+V8+V11+V14+V17</f>
        <v>8652580.3011954185</v>
      </c>
      <c r="W20" s="70"/>
      <c r="X20" s="70">
        <f>X5+X8+X11+X14+X17</f>
        <v>579777403.77311456</v>
      </c>
      <c r="Y20" s="75">
        <f t="shared" si="9"/>
        <v>4.1530980218155555</v>
      </c>
      <c r="AA20">
        <v>11</v>
      </c>
      <c r="AB20" s="21">
        <f>AA20*AB$23/100</f>
        <v>418052.98842248769</v>
      </c>
      <c r="AC20" s="70">
        <f>AC5+AC8+AC11+AC14+AC17</f>
        <v>8532896.0509758908</v>
      </c>
      <c r="AD20" s="70"/>
      <c r="AE20" s="70">
        <f>AE5+AE8+AE11+AE14+AE17</f>
        <v>451203702.21909654</v>
      </c>
      <c r="AF20" s="75">
        <f t="shared" si="12"/>
        <v>3.8854111400765499</v>
      </c>
      <c r="AH20">
        <v>10.8</v>
      </c>
      <c r="AI20" s="21">
        <f>AH20*AI$23/100</f>
        <v>398704.61521217471</v>
      </c>
      <c r="AJ20" s="70">
        <f>AJ5+AJ8+AJ11+AJ14+AJ17</f>
        <v>8364333.4358796794</v>
      </c>
      <c r="AK20" s="70"/>
      <c r="AL20" s="70">
        <f>AL5+AL8+AL11+AL14+AL17</f>
        <v>375935607.2518549</v>
      </c>
      <c r="AM20" s="75">
        <f t="shared" si="15"/>
        <v>3.7851150010725649</v>
      </c>
    </row>
    <row r="21" spans="1:39" x14ac:dyDescent="0.25">
      <c r="B21" t="s">
        <v>19</v>
      </c>
      <c r="C21" s="20">
        <v>0.69545502539976767</v>
      </c>
      <c r="D21">
        <f>64.1/100</f>
        <v>0.6409999999999999</v>
      </c>
      <c r="E21" s="21">
        <f>D21*E$23</f>
        <v>2364503.4929999998</v>
      </c>
      <c r="F21" s="24">
        <f>(F6+F9+F12+F15+F18)/5</f>
        <v>100.43948307209855</v>
      </c>
      <c r="G21" s="24"/>
      <c r="H21" s="70">
        <f t="shared" ref="H21:J22" si="26">H6+H9+H12+H15+H18</f>
        <v>260045838.40254128</v>
      </c>
      <c r="I21" s="24"/>
      <c r="J21" s="70">
        <f t="shared" si="26"/>
        <v>12541244251.130484</v>
      </c>
      <c r="K21" s="75">
        <f t="shared" si="4"/>
        <v>67.660970308551327</v>
      </c>
      <c r="L21" s="20"/>
      <c r="M21" s="80">
        <v>60</v>
      </c>
      <c r="N21" s="21">
        <f>M21*N$23/100</f>
        <v>2299315.0418431498</v>
      </c>
      <c r="O21" s="70">
        <f t="shared" ref="O21:Q22" si="27">O6+O9+O12+O15+O18</f>
        <v>251185196.59471536</v>
      </c>
      <c r="P21" s="70"/>
      <c r="Q21" s="70">
        <f t="shared" si="27"/>
        <v>10572979131.922379</v>
      </c>
      <c r="R21" s="75">
        <f t="shared" si="6"/>
        <v>63.408862573560384</v>
      </c>
      <c r="S21" s="20"/>
      <c r="T21">
        <v>59.2</v>
      </c>
      <c r="U21" s="21">
        <f>T21*U$23/100</f>
        <v>2284414.2633436359</v>
      </c>
      <c r="V21" s="70">
        <f t="shared" ref="V21:X22" si="28">V6+V9+V12+V15+V18</f>
        <v>247877065.80593354</v>
      </c>
      <c r="W21" s="70"/>
      <c r="X21" s="70">
        <f t="shared" si="28"/>
        <v>8765499735.9978371</v>
      </c>
      <c r="Y21" s="75">
        <f t="shared" si="9"/>
        <v>62.789579892015638</v>
      </c>
      <c r="AA21">
        <v>55.8</v>
      </c>
      <c r="AB21" s="21">
        <f>AA21*AB$23/100</f>
        <v>2120668.7958158921</v>
      </c>
      <c r="AC21" s="70">
        <f t="shared" ref="AC21:AE22" si="29">AC6+AC9+AC12+AC15+AC18</f>
        <v>228549510.29899165</v>
      </c>
      <c r="AD21" s="70"/>
      <c r="AE21" s="70">
        <f t="shared" si="29"/>
        <v>6981702436.6838379</v>
      </c>
      <c r="AF21" s="75">
        <f t="shared" si="12"/>
        <v>60.120926071255262</v>
      </c>
      <c r="AH21">
        <v>53.6</v>
      </c>
      <c r="AI21" s="21">
        <f>AH21*AI$23/100</f>
        <v>1978756.2384604227</v>
      </c>
      <c r="AJ21" s="70">
        <f t="shared" ref="AJ21:AL22" si="30">AJ6+AJ9+AJ12+AJ15+AJ18</f>
        <v>211799768.36451417</v>
      </c>
      <c r="AK21" s="70"/>
      <c r="AL21" s="70">
        <f t="shared" si="30"/>
        <v>5864446056.9140348</v>
      </c>
      <c r="AM21" s="75">
        <f t="shared" si="15"/>
        <v>59.046289616655201</v>
      </c>
    </row>
    <row r="22" spans="1:39" ht="15.75" thickBot="1" x14ac:dyDescent="0.3">
      <c r="B22" t="s">
        <v>20</v>
      </c>
      <c r="C22" s="20">
        <v>0.25229653788847567</v>
      </c>
      <c r="D22">
        <f>22.5/100</f>
        <v>0.22500000000000001</v>
      </c>
      <c r="E22" s="21">
        <f>D22*E$23</f>
        <v>829973.92500000005</v>
      </c>
      <c r="F22" s="24">
        <f>(F7+F10+F13+F16+F19)/5</f>
        <v>101.78487666633941</v>
      </c>
      <c r="G22" s="24"/>
      <c r="H22" s="70">
        <f t="shared" si="26"/>
        <v>73255059.552111879</v>
      </c>
      <c r="J22" s="70">
        <f t="shared" si="26"/>
        <v>4930249401.4246445</v>
      </c>
      <c r="K22" s="75">
        <f t="shared" si="4"/>
        <v>26.59907196476745</v>
      </c>
      <c r="L22" s="20"/>
      <c r="M22" s="80">
        <v>27.8</v>
      </c>
      <c r="N22" s="21">
        <f>M22*N$23/100</f>
        <v>1065349.3027206594</v>
      </c>
      <c r="O22" s="70">
        <f t="shared" si="27"/>
        <v>93129846.834811524</v>
      </c>
      <c r="P22" s="70"/>
      <c r="Q22" s="70">
        <f t="shared" si="27"/>
        <v>5309378578.9185886</v>
      </c>
      <c r="R22" s="75">
        <f t="shared" si="6"/>
        <v>31.841702557152622</v>
      </c>
      <c r="S22" s="20"/>
      <c r="T22">
        <v>29.6</v>
      </c>
      <c r="U22" s="21">
        <f>T22*U$23/100</f>
        <v>1142207.131671818</v>
      </c>
      <c r="V22" s="70">
        <f t="shared" si="28"/>
        <v>98883735.59072715</v>
      </c>
      <c r="W22" s="70"/>
      <c r="X22" s="70">
        <f t="shared" si="28"/>
        <v>4614841324.268116</v>
      </c>
      <c r="Y22" s="75">
        <f t="shared" si="9"/>
        <v>33.057322086168803</v>
      </c>
      <c r="AA22">
        <v>33.200000000000003</v>
      </c>
      <c r="AB22" s="21">
        <f>AA22*AB$23/100</f>
        <v>1261759.9286933267</v>
      </c>
      <c r="AC22" s="70">
        <f t="shared" si="29"/>
        <v>108167929.38080643</v>
      </c>
      <c r="AD22" s="70"/>
      <c r="AE22" s="70">
        <f t="shared" si="29"/>
        <v>4179859819.5075049</v>
      </c>
      <c r="AF22" s="75">
        <f t="shared" si="12"/>
        <v>35.993662788668189</v>
      </c>
      <c r="AH22">
        <v>35.700000000000003</v>
      </c>
      <c r="AI22" s="21">
        <f>AH22*AI$23/100</f>
        <v>1317940.2558402445</v>
      </c>
      <c r="AJ22" s="70">
        <f t="shared" si="30"/>
        <v>111870900.00760852</v>
      </c>
      <c r="AK22" s="70"/>
      <c r="AL22" s="70">
        <f t="shared" si="30"/>
        <v>3691565110.1151633</v>
      </c>
      <c r="AM22" s="75">
        <f t="shared" si="15"/>
        <v>37.16859538227223</v>
      </c>
    </row>
    <row r="23" spans="1:39" ht="15.75" thickBot="1" x14ac:dyDescent="0.3">
      <c r="B23" t="s">
        <v>24</v>
      </c>
      <c r="E23" s="25">
        <v>3688773</v>
      </c>
      <c r="F23" s="10">
        <f>AVERAGE(F20:F22)</f>
        <v>90.155458352398043</v>
      </c>
      <c r="H23" s="10">
        <f>SUM(H20:H22)</f>
        <v>342548100.75156397</v>
      </c>
      <c r="J23" s="10">
        <f>SUM(J20:J22)</f>
        <v>18535418859.556999</v>
      </c>
      <c r="K23" s="75">
        <f t="shared" si="4"/>
        <v>100</v>
      </c>
      <c r="N23" s="25">
        <v>3832191.7364052502</v>
      </c>
      <c r="O23" s="10">
        <f>SUM(O20:O22)</f>
        <v>353326901.96095371</v>
      </c>
      <c r="P23" s="10"/>
      <c r="Q23" s="10">
        <f>SUM(Q20:Q22)</f>
        <v>16674292366.712469</v>
      </c>
      <c r="R23" s="75">
        <f t="shared" si="6"/>
        <v>100</v>
      </c>
      <c r="U23" s="25">
        <v>3858807.877269655</v>
      </c>
      <c r="V23" s="10">
        <f>SUM(V20:V22)</f>
        <v>355413381.69785607</v>
      </c>
      <c r="W23" s="10"/>
      <c r="X23" s="10">
        <f>SUM(X20:X22)</f>
        <v>13960118464.039068</v>
      </c>
      <c r="Y23" s="75">
        <f t="shared" si="9"/>
        <v>100</v>
      </c>
      <c r="AB23" s="25">
        <v>3800481.7129317061</v>
      </c>
      <c r="AC23" s="10">
        <f>SUM(AC20:AC22)</f>
        <v>345250335.73077399</v>
      </c>
      <c r="AD23" s="10"/>
      <c r="AE23" s="10">
        <f>SUM(AE20:AE22)</f>
        <v>11612765958.410439</v>
      </c>
      <c r="AF23" s="75">
        <f t="shared" si="12"/>
        <v>100</v>
      </c>
      <c r="AI23" s="25">
        <v>3691709.4001127291</v>
      </c>
      <c r="AJ23" s="10">
        <f>SUM(AJ20:AJ22)</f>
        <v>332035001.80800235</v>
      </c>
      <c r="AK23" s="10"/>
      <c r="AL23" s="10">
        <f>SUM(AL20:AL22)</f>
        <v>9931946774.2810535</v>
      </c>
      <c r="AM23" s="75">
        <f t="shared" si="15"/>
        <v>100</v>
      </c>
    </row>
    <row r="28" spans="1:39" x14ac:dyDescent="0.25">
      <c r="B28">
        <v>2003</v>
      </c>
      <c r="C28">
        <v>2013</v>
      </c>
      <c r="D28" t="s">
        <v>98</v>
      </c>
    </row>
    <row r="29" spans="1:39" x14ac:dyDescent="0.25">
      <c r="A29" t="s">
        <v>2</v>
      </c>
      <c r="B29" s="71">
        <v>18</v>
      </c>
      <c r="C29">
        <v>21</v>
      </c>
      <c r="D29">
        <f>(C29-B29)</f>
        <v>3</v>
      </c>
      <c r="E29" t="s">
        <v>100</v>
      </c>
    </row>
    <row r="30" spans="1:39" x14ac:dyDescent="0.25">
      <c r="B30" s="71">
        <v>18</v>
      </c>
      <c r="C30">
        <v>21</v>
      </c>
      <c r="D30">
        <f t="shared" ref="D30:D43" si="31">(C30-B30)</f>
        <v>3</v>
      </c>
      <c r="E30" t="s">
        <v>100</v>
      </c>
    </row>
    <row r="31" spans="1:39" x14ac:dyDescent="0.25">
      <c r="B31" s="71">
        <v>18</v>
      </c>
      <c r="C31">
        <v>21</v>
      </c>
      <c r="D31">
        <f t="shared" si="31"/>
        <v>3</v>
      </c>
      <c r="E31" t="s">
        <v>100</v>
      </c>
    </row>
    <row r="32" spans="1:39" x14ac:dyDescent="0.25">
      <c r="A32" t="s">
        <v>3</v>
      </c>
      <c r="B32" s="71">
        <v>52</v>
      </c>
      <c r="C32">
        <v>56</v>
      </c>
      <c r="D32">
        <f t="shared" si="31"/>
        <v>4</v>
      </c>
      <c r="E32" t="s">
        <v>100</v>
      </c>
    </row>
    <row r="33" spans="1:5" x14ac:dyDescent="0.25">
      <c r="B33" s="71">
        <v>52</v>
      </c>
      <c r="C33">
        <v>56</v>
      </c>
      <c r="D33">
        <f t="shared" si="31"/>
        <v>4</v>
      </c>
      <c r="E33" t="s">
        <v>100</v>
      </c>
    </row>
    <row r="34" spans="1:5" x14ac:dyDescent="0.25">
      <c r="B34" s="71">
        <v>52</v>
      </c>
      <c r="C34">
        <v>56</v>
      </c>
      <c r="D34">
        <f t="shared" si="31"/>
        <v>4</v>
      </c>
      <c r="E34" t="s">
        <v>100</v>
      </c>
    </row>
    <row r="35" spans="1:5" x14ac:dyDescent="0.25">
      <c r="A35" t="s">
        <v>4</v>
      </c>
      <c r="B35" s="71">
        <v>175</v>
      </c>
      <c r="C35">
        <v>147</v>
      </c>
      <c r="D35">
        <f t="shared" si="31"/>
        <v>-28</v>
      </c>
    </row>
    <row r="36" spans="1:5" x14ac:dyDescent="0.25">
      <c r="B36" s="71">
        <v>175</v>
      </c>
      <c r="C36">
        <v>147</v>
      </c>
      <c r="D36">
        <f t="shared" si="31"/>
        <v>-28</v>
      </c>
    </row>
    <row r="37" spans="1:5" x14ac:dyDescent="0.25">
      <c r="B37" s="71">
        <v>175</v>
      </c>
      <c r="C37">
        <v>147</v>
      </c>
      <c r="D37">
        <f t="shared" si="31"/>
        <v>-28</v>
      </c>
    </row>
    <row r="38" spans="1:5" x14ac:dyDescent="0.25">
      <c r="A38" t="s">
        <v>5</v>
      </c>
      <c r="B38" s="71">
        <v>0</v>
      </c>
      <c r="C38">
        <v>0</v>
      </c>
      <c r="D38">
        <f t="shared" si="31"/>
        <v>0</v>
      </c>
    </row>
    <row r="39" spans="1:5" x14ac:dyDescent="0.25">
      <c r="B39" s="71">
        <v>0</v>
      </c>
      <c r="C39">
        <v>0</v>
      </c>
      <c r="D39">
        <f t="shared" si="31"/>
        <v>0</v>
      </c>
    </row>
    <row r="40" spans="1:5" x14ac:dyDescent="0.25">
      <c r="B40" s="71">
        <v>0</v>
      </c>
      <c r="C40">
        <v>0</v>
      </c>
      <c r="D40">
        <f t="shared" si="31"/>
        <v>0</v>
      </c>
    </row>
    <row r="41" spans="1:5" x14ac:dyDescent="0.25">
      <c r="A41" t="s">
        <v>6</v>
      </c>
      <c r="B41" s="71">
        <v>0</v>
      </c>
      <c r="C41">
        <v>0</v>
      </c>
      <c r="D41">
        <f t="shared" si="31"/>
        <v>0</v>
      </c>
    </row>
    <row r="42" spans="1:5" x14ac:dyDescent="0.25">
      <c r="B42" s="71">
        <v>0</v>
      </c>
      <c r="C42">
        <v>0</v>
      </c>
      <c r="D42">
        <f t="shared" si="31"/>
        <v>0</v>
      </c>
    </row>
    <row r="43" spans="1:5" x14ac:dyDescent="0.25">
      <c r="B43" s="71">
        <v>0</v>
      </c>
      <c r="C43">
        <v>0</v>
      </c>
      <c r="D43">
        <f t="shared" si="31"/>
        <v>0</v>
      </c>
    </row>
  </sheetData>
  <mergeCells count="5">
    <mergeCell ref="E2:K2"/>
    <mergeCell ref="M2:R2"/>
    <mergeCell ref="T2:Y2"/>
    <mergeCell ref="AA2:AF2"/>
    <mergeCell ref="AH2:AM2"/>
  </mergeCells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workbookViewId="0">
      <selection activeCell="G16" sqref="G16:L16"/>
    </sheetView>
  </sheetViews>
  <sheetFormatPr defaultRowHeight="15" x14ac:dyDescent="0.25"/>
  <cols>
    <col min="18" max="18" width="10" bestFit="1" customWidth="1"/>
    <col min="20" max="20" width="10.5703125" bestFit="1" customWidth="1"/>
    <col min="21" max="21" width="9.5703125" bestFit="1" customWidth="1"/>
  </cols>
  <sheetData>
    <row r="1" spans="1:21" x14ac:dyDescent="0.25">
      <c r="A1" t="s">
        <v>17</v>
      </c>
      <c r="B1" t="s">
        <v>18</v>
      </c>
      <c r="C1" t="s">
        <v>19</v>
      </c>
      <c r="D1" t="s">
        <v>20</v>
      </c>
      <c r="G1" t="s">
        <v>33</v>
      </c>
      <c r="R1" t="s">
        <v>90</v>
      </c>
      <c r="S1" t="s">
        <v>91</v>
      </c>
    </row>
    <row r="2" spans="1:21" x14ac:dyDescent="0.25">
      <c r="A2" s="22">
        <v>1995</v>
      </c>
      <c r="B2">
        <v>15.95</v>
      </c>
      <c r="C2">
        <v>64.489999999999995</v>
      </c>
      <c r="D2">
        <v>14.56</v>
      </c>
      <c r="F2" t="s">
        <v>2</v>
      </c>
      <c r="G2" s="23" t="s">
        <v>34</v>
      </c>
    </row>
    <row r="3" spans="1:21" x14ac:dyDescent="0.25">
      <c r="A3">
        <v>2000</v>
      </c>
      <c r="B3">
        <v>14.6</v>
      </c>
      <c r="C3">
        <v>68.099999999999994</v>
      </c>
      <c r="D3">
        <v>17.399999999999999</v>
      </c>
      <c r="F3" t="s">
        <v>3</v>
      </c>
      <c r="G3" s="23">
        <v>60</v>
      </c>
    </row>
    <row r="4" spans="1:21" x14ac:dyDescent="0.25">
      <c r="A4">
        <v>2010</v>
      </c>
      <c r="B4">
        <v>13.4</v>
      </c>
      <c r="C4">
        <v>64.099999999999994</v>
      </c>
      <c r="D4">
        <v>22.5</v>
      </c>
      <c r="F4" t="s">
        <v>4</v>
      </c>
      <c r="G4" s="23">
        <v>60</v>
      </c>
      <c r="Q4">
        <v>2000</v>
      </c>
      <c r="R4">
        <v>126926000</v>
      </c>
      <c r="S4" s="81">
        <v>3426651</v>
      </c>
      <c r="T4" s="5">
        <f>S4/R4</f>
        <v>2.6997234609142336E-2</v>
      </c>
    </row>
    <row r="5" spans="1:21" x14ac:dyDescent="0.25">
      <c r="A5" s="83">
        <v>2015</v>
      </c>
      <c r="B5" s="83">
        <v>12.867594230206173</v>
      </c>
      <c r="C5" s="83">
        <v>64.266245776967708</v>
      </c>
      <c r="D5" s="83">
        <v>22.866159992826113</v>
      </c>
      <c r="F5" t="s">
        <v>5</v>
      </c>
      <c r="G5">
        <v>10</v>
      </c>
      <c r="Q5">
        <v>2010</v>
      </c>
      <c r="R5">
        <v>127473000</v>
      </c>
      <c r="S5" s="81">
        <v>3688773</v>
      </c>
      <c r="T5" s="5">
        <f>S5/R5</f>
        <v>2.8937680920665551E-2</v>
      </c>
      <c r="U5" s="5">
        <f>T5-T4</f>
        <v>1.9404463115232154E-3</v>
      </c>
    </row>
    <row r="6" spans="1:21" x14ac:dyDescent="0.25">
      <c r="A6">
        <v>2020</v>
      </c>
      <c r="B6" s="80">
        <v>12.2</v>
      </c>
      <c r="C6" s="80">
        <v>60</v>
      </c>
      <c r="D6" s="80">
        <v>27.8</v>
      </c>
      <c r="E6" s="78"/>
      <c r="F6" t="s">
        <v>6</v>
      </c>
      <c r="G6" s="23">
        <v>2</v>
      </c>
      <c r="Q6">
        <v>2020</v>
      </c>
      <c r="R6">
        <v>124107000</v>
      </c>
      <c r="S6">
        <f>T6*R6</f>
        <v>3832191.7364052511</v>
      </c>
      <c r="T6" s="5">
        <f>T5+U$5</f>
        <v>3.0878127232188766E-2</v>
      </c>
    </row>
    <row r="7" spans="1:21" x14ac:dyDescent="0.25">
      <c r="A7">
        <v>2030</v>
      </c>
      <c r="B7">
        <v>11.3</v>
      </c>
      <c r="C7">
        <v>59.2</v>
      </c>
      <c r="D7">
        <v>29.6</v>
      </c>
      <c r="Q7">
        <v>2030</v>
      </c>
      <c r="R7">
        <v>117580000</v>
      </c>
      <c r="S7">
        <f>T7*R7</f>
        <v>3858807.877269655</v>
      </c>
      <c r="T7" s="5">
        <f>T6+U$5</f>
        <v>3.2818573543711982E-2</v>
      </c>
    </row>
    <row r="8" spans="1:21" x14ac:dyDescent="0.25">
      <c r="A8">
        <v>2040</v>
      </c>
      <c r="B8">
        <v>11</v>
      </c>
      <c r="C8">
        <v>55.8</v>
      </c>
      <c r="D8">
        <v>33.200000000000003</v>
      </c>
      <c r="Q8">
        <v>2040</v>
      </c>
      <c r="R8">
        <v>109338000</v>
      </c>
      <c r="S8">
        <f>T8*R8</f>
        <v>3800481.7129317061</v>
      </c>
      <c r="T8" s="5">
        <f>T7+U$5</f>
        <v>3.4759019855235197E-2</v>
      </c>
    </row>
    <row r="9" spans="1:21" x14ac:dyDescent="0.25">
      <c r="A9">
        <v>2050</v>
      </c>
      <c r="B9">
        <v>10.8</v>
      </c>
      <c r="C9">
        <v>53.6</v>
      </c>
      <c r="D9">
        <v>35.700000000000003</v>
      </c>
      <c r="Q9">
        <v>2050</v>
      </c>
      <c r="R9">
        <v>100593000</v>
      </c>
      <c r="S9">
        <f>T9*R9</f>
        <v>3691709.4001127291</v>
      </c>
      <c r="T9" s="5">
        <f>T8+U$5</f>
        <v>3.6699466166758413E-2</v>
      </c>
    </row>
    <row r="10" spans="1:21" x14ac:dyDescent="0.25">
      <c r="A10">
        <v>2050</v>
      </c>
      <c r="B10">
        <v>10.8</v>
      </c>
      <c r="C10">
        <v>53.6</v>
      </c>
      <c r="D10">
        <v>35.700000000000003</v>
      </c>
    </row>
    <row r="12" spans="1:21" x14ac:dyDescent="0.25">
      <c r="A12" t="s">
        <v>7</v>
      </c>
    </row>
    <row r="13" spans="1:21" x14ac:dyDescent="0.25">
      <c r="A13" t="s">
        <v>8</v>
      </c>
      <c r="B13">
        <v>306203</v>
      </c>
      <c r="C13">
        <v>8.2705798208472743</v>
      </c>
      <c r="E13" s="116" t="s">
        <v>60</v>
      </c>
      <c r="F13" s="116"/>
      <c r="G13" s="116"/>
      <c r="H13" s="116"/>
      <c r="I13" s="116"/>
      <c r="J13" s="116"/>
      <c r="K13" s="116"/>
      <c r="L13" s="116"/>
      <c r="M13" s="116"/>
      <c r="N13" s="116"/>
      <c r="O13" s="116"/>
    </row>
    <row r="14" spans="1:21" ht="15.75" thickBot="1" x14ac:dyDescent="0.3">
      <c r="A14" t="s">
        <v>9</v>
      </c>
      <c r="B14">
        <v>340392</v>
      </c>
      <c r="C14">
        <v>9.194028818717797</v>
      </c>
      <c r="E14" s="117" t="s">
        <v>22</v>
      </c>
      <c r="F14" s="117"/>
      <c r="G14" s="117"/>
      <c r="H14" s="117"/>
      <c r="I14" s="117"/>
      <c r="J14" s="117"/>
      <c r="K14" s="117"/>
      <c r="L14" s="117"/>
      <c r="M14" s="117"/>
      <c r="N14" s="117"/>
      <c r="O14" s="117"/>
    </row>
    <row r="15" spans="1:21" ht="15.75" thickTop="1" x14ac:dyDescent="0.25">
      <c r="A15" t="s">
        <v>10</v>
      </c>
      <c r="B15">
        <v>391846</v>
      </c>
      <c r="C15">
        <v>10.583807541009465</v>
      </c>
      <c r="E15" s="118"/>
      <c r="F15" s="119"/>
      <c r="G15" s="122" t="s">
        <v>26</v>
      </c>
      <c r="H15" s="123"/>
      <c r="I15" s="123"/>
      <c r="J15" s="123"/>
      <c r="K15" s="123"/>
      <c r="L15" s="123"/>
      <c r="M15" s="123"/>
      <c r="N15" s="123"/>
      <c r="O15" s="124" t="s">
        <v>24</v>
      </c>
    </row>
    <row r="16" spans="1:21" ht="15.75" thickBot="1" x14ac:dyDescent="0.3">
      <c r="A16" t="s">
        <v>11</v>
      </c>
      <c r="B16">
        <v>493809</v>
      </c>
      <c r="C16">
        <v>13.337840422049332</v>
      </c>
      <c r="E16" s="120"/>
      <c r="F16" s="121"/>
      <c r="G16" s="28" t="s">
        <v>61</v>
      </c>
      <c r="H16" s="29" t="s">
        <v>3</v>
      </c>
      <c r="I16" s="29" t="s">
        <v>62</v>
      </c>
      <c r="J16" s="29" t="s">
        <v>63</v>
      </c>
      <c r="K16" s="29" t="s">
        <v>64</v>
      </c>
      <c r="L16" s="29" t="s">
        <v>65</v>
      </c>
      <c r="M16" s="29" t="s">
        <v>27</v>
      </c>
      <c r="N16" s="29" t="s">
        <v>28</v>
      </c>
      <c r="O16" s="125"/>
    </row>
    <row r="17" spans="1:15" ht="15.75" thickTop="1" x14ac:dyDescent="0.25">
      <c r="A17" t="s">
        <v>12</v>
      </c>
      <c r="B17">
        <v>624227</v>
      </c>
      <c r="C17">
        <v>16.860446272009195</v>
      </c>
      <c r="E17" s="112" t="s">
        <v>23</v>
      </c>
      <c r="F17" s="30" t="s">
        <v>18</v>
      </c>
      <c r="G17" s="31">
        <v>560</v>
      </c>
      <c r="H17" s="32">
        <v>213</v>
      </c>
      <c r="I17" s="32">
        <v>4373</v>
      </c>
      <c r="J17" s="32">
        <v>17</v>
      </c>
      <c r="K17" s="32">
        <v>1865</v>
      </c>
      <c r="L17" s="32">
        <v>19395</v>
      </c>
      <c r="M17" s="32">
        <v>39</v>
      </c>
      <c r="N17" s="32">
        <v>259</v>
      </c>
      <c r="O17" s="33">
        <v>26721</v>
      </c>
    </row>
    <row r="18" spans="1:15" x14ac:dyDescent="0.25">
      <c r="A18" t="s">
        <v>13</v>
      </c>
      <c r="B18">
        <v>465693</v>
      </c>
      <c r="C18">
        <v>12.578423883860804</v>
      </c>
      <c r="E18" s="113"/>
      <c r="F18" s="34" t="s">
        <v>19</v>
      </c>
      <c r="G18" s="35">
        <v>158830</v>
      </c>
      <c r="H18" s="36">
        <v>8171</v>
      </c>
      <c r="I18" s="36">
        <v>74196</v>
      </c>
      <c r="J18" s="36">
        <v>7538</v>
      </c>
      <c r="K18" s="36">
        <v>46167</v>
      </c>
      <c r="L18" s="36">
        <v>58592</v>
      </c>
      <c r="M18" s="36">
        <v>204</v>
      </c>
      <c r="N18" s="36">
        <v>1973</v>
      </c>
      <c r="O18" s="37">
        <v>355671</v>
      </c>
    </row>
    <row r="19" spans="1:15" x14ac:dyDescent="0.25">
      <c r="A19" t="s">
        <v>14</v>
      </c>
      <c r="B19">
        <v>467137</v>
      </c>
      <c r="C19">
        <v>12.617426497360032</v>
      </c>
      <c r="E19" s="113"/>
      <c r="F19" s="34" t="s">
        <v>25</v>
      </c>
      <c r="G19" s="35">
        <v>32403</v>
      </c>
      <c r="H19" s="36">
        <v>7565</v>
      </c>
      <c r="I19" s="36">
        <v>38560</v>
      </c>
      <c r="J19" s="36">
        <v>1927</v>
      </c>
      <c r="K19" s="36">
        <v>18109</v>
      </c>
      <c r="L19" s="36">
        <v>28741</v>
      </c>
      <c r="M19" s="36">
        <v>151</v>
      </c>
      <c r="N19" s="36">
        <v>1574</v>
      </c>
      <c r="O19" s="37">
        <v>129030</v>
      </c>
    </row>
    <row r="20" spans="1:15" ht="15.75" thickBot="1" x14ac:dyDescent="0.3">
      <c r="A20" t="s">
        <v>15</v>
      </c>
      <c r="B20">
        <v>378622</v>
      </c>
      <c r="C20">
        <v>10.226625712121818</v>
      </c>
      <c r="E20" s="114" t="s">
        <v>24</v>
      </c>
      <c r="F20" s="115"/>
      <c r="G20" s="38">
        <v>191793</v>
      </c>
      <c r="H20" s="39">
        <v>15949</v>
      </c>
      <c r="I20" s="39">
        <v>117129</v>
      </c>
      <c r="J20" s="39">
        <v>9482</v>
      </c>
      <c r="K20" s="39">
        <v>66141</v>
      </c>
      <c r="L20" s="39">
        <v>106728</v>
      </c>
      <c r="M20" s="39">
        <v>394</v>
      </c>
      <c r="N20" s="39">
        <v>3806</v>
      </c>
      <c r="O20" s="40">
        <v>511422</v>
      </c>
    </row>
    <row r="21" spans="1:15" ht="15.75" thickTop="1" x14ac:dyDescent="0.25">
      <c r="A21" t="s">
        <v>16</v>
      </c>
      <c r="B21">
        <v>234387</v>
      </c>
      <c r="C21">
        <v>6.3308210320242795</v>
      </c>
    </row>
    <row r="23" spans="1:15" x14ac:dyDescent="0.25">
      <c r="B23">
        <v>3702316</v>
      </c>
    </row>
  </sheetData>
  <mergeCells count="7">
    <mergeCell ref="E17:E19"/>
    <mergeCell ref="E20:F20"/>
    <mergeCell ref="E13:O13"/>
    <mergeCell ref="E14:O14"/>
    <mergeCell ref="E15:F16"/>
    <mergeCell ref="G15:N15"/>
    <mergeCell ref="O15:O1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opLeftCell="A16" workbookViewId="0">
      <selection activeCell="E17" sqref="E17"/>
    </sheetView>
  </sheetViews>
  <sheetFormatPr defaultRowHeight="15" x14ac:dyDescent="0.25"/>
  <cols>
    <col min="1" max="1" width="19.85546875" customWidth="1"/>
    <col min="5" max="5" width="15.85546875" customWidth="1"/>
  </cols>
  <sheetData>
    <row r="1" spans="1:7" ht="15.75" thickBot="1" x14ac:dyDescent="0.3">
      <c r="A1" s="126" t="s">
        <v>23</v>
      </c>
      <c r="B1" s="126"/>
      <c r="C1" s="126"/>
      <c r="D1" s="126"/>
      <c r="E1" s="126"/>
      <c r="F1" s="126"/>
      <c r="G1" s="41"/>
    </row>
    <row r="2" spans="1:7" ht="26.25" thickTop="1" thickBot="1" x14ac:dyDescent="0.3">
      <c r="A2" s="127"/>
      <c r="B2" s="128"/>
      <c r="C2" s="42" t="s">
        <v>66</v>
      </c>
      <c r="D2" s="43" t="s">
        <v>67</v>
      </c>
      <c r="E2" s="43" t="s">
        <v>68</v>
      </c>
      <c r="F2" s="44" t="s">
        <v>69</v>
      </c>
      <c r="G2" s="41"/>
    </row>
    <row r="3" spans="1:7" ht="15.75" thickTop="1" x14ac:dyDescent="0.25">
      <c r="A3" s="129" t="s">
        <v>59</v>
      </c>
      <c r="B3" s="45" t="s">
        <v>18</v>
      </c>
      <c r="C3" s="46">
        <v>26721</v>
      </c>
      <c r="D3" s="47">
        <v>5.2248436711756634</v>
      </c>
      <c r="E3" s="47">
        <v>5.2248436711756634</v>
      </c>
      <c r="F3" s="48">
        <v>5.2248436711756634</v>
      </c>
      <c r="G3" s="41"/>
    </row>
    <row r="4" spans="1:7" x14ac:dyDescent="0.25">
      <c r="A4" s="130"/>
      <c r="B4" s="49" t="s">
        <v>19</v>
      </c>
      <c r="C4" s="50">
        <v>355671</v>
      </c>
      <c r="D4" s="51">
        <v>69.545502539976766</v>
      </c>
      <c r="E4" s="51">
        <v>69.545502539976766</v>
      </c>
      <c r="F4" s="52">
        <v>74.770346211152429</v>
      </c>
      <c r="G4" s="41"/>
    </row>
    <row r="5" spans="1:7" x14ac:dyDescent="0.25">
      <c r="A5" s="130"/>
      <c r="B5" s="49" t="s">
        <v>25</v>
      </c>
      <c r="C5" s="50">
        <v>129030</v>
      </c>
      <c r="D5" s="51">
        <v>25.229653788847568</v>
      </c>
      <c r="E5" s="51">
        <v>25.229653788847568</v>
      </c>
      <c r="F5" s="52">
        <v>100</v>
      </c>
      <c r="G5" s="41"/>
    </row>
    <row r="6" spans="1:7" ht="15.75" thickBot="1" x14ac:dyDescent="0.3">
      <c r="A6" s="131"/>
      <c r="B6" s="53" t="s">
        <v>24</v>
      </c>
      <c r="C6" s="54">
        <v>511422</v>
      </c>
      <c r="D6" s="55">
        <v>100</v>
      </c>
      <c r="E6" s="55">
        <v>100</v>
      </c>
      <c r="F6" s="56"/>
      <c r="G6" s="41"/>
    </row>
    <row r="9" spans="1:7" ht="15.75" thickBot="1" x14ac:dyDescent="0.3">
      <c r="A9" s="126" t="s">
        <v>35</v>
      </c>
      <c r="B9" s="126"/>
      <c r="C9" s="126"/>
      <c r="D9" s="126"/>
      <c r="E9" s="126"/>
      <c r="F9" s="126"/>
      <c r="G9" s="126"/>
    </row>
    <row r="10" spans="1:7" ht="26.25" thickTop="1" thickBot="1" x14ac:dyDescent="0.3">
      <c r="A10" s="132"/>
      <c r="B10" s="42" t="s">
        <v>36</v>
      </c>
      <c r="C10" s="43" t="s">
        <v>37</v>
      </c>
      <c r="D10" s="43" t="s">
        <v>38</v>
      </c>
      <c r="E10" s="43" t="s">
        <v>39</v>
      </c>
      <c r="F10" s="43" t="s">
        <v>40</v>
      </c>
      <c r="G10" s="44" t="s">
        <v>41</v>
      </c>
    </row>
    <row r="11" spans="1:7" ht="15.75" thickTop="1" x14ac:dyDescent="0.25">
      <c r="A11" s="57" t="s">
        <v>44</v>
      </c>
      <c r="B11" s="46">
        <v>511422</v>
      </c>
      <c r="C11" s="58">
        <v>0</v>
      </c>
      <c r="D11" s="58">
        <v>21.5</v>
      </c>
      <c r="E11" s="58">
        <v>22548.533333332547</v>
      </c>
      <c r="F11" s="59">
        <v>4.4089877504942192E-2</v>
      </c>
      <c r="G11" s="60">
        <v>0.26362519950274121</v>
      </c>
    </row>
    <row r="12" spans="1:7" ht="24" x14ac:dyDescent="0.25">
      <c r="A12" s="61" t="s">
        <v>45</v>
      </c>
      <c r="B12" s="50">
        <v>511422</v>
      </c>
      <c r="C12" s="62">
        <v>0</v>
      </c>
      <c r="D12" s="62">
        <v>31.666666666666664</v>
      </c>
      <c r="E12" s="62">
        <v>16448.666666667068</v>
      </c>
      <c r="F12" s="63">
        <v>3.2162610655519452E-2</v>
      </c>
      <c r="G12" s="64">
        <v>0.39969367473186762</v>
      </c>
    </row>
    <row r="13" spans="1:7" ht="24" x14ac:dyDescent="0.25">
      <c r="A13" s="61" t="s">
        <v>46</v>
      </c>
      <c r="B13" s="50">
        <v>511422</v>
      </c>
      <c r="C13" s="62">
        <v>0</v>
      </c>
      <c r="D13" s="62">
        <v>510</v>
      </c>
      <c r="E13" s="62">
        <v>325535.99999998783</v>
      </c>
      <c r="F13" s="63">
        <v>0.63653108391893154</v>
      </c>
      <c r="G13" s="65">
        <v>6.6121089333967271</v>
      </c>
    </row>
    <row r="14" spans="1:7" x14ac:dyDescent="0.25">
      <c r="A14" s="61" t="s">
        <v>47</v>
      </c>
      <c r="B14" s="50">
        <v>511422</v>
      </c>
      <c r="C14" s="62">
        <v>0</v>
      </c>
      <c r="D14" s="62">
        <v>510</v>
      </c>
      <c r="E14" s="62">
        <v>23782.99999999972</v>
      </c>
      <c r="F14" s="63">
        <v>4.6503670158889759E-2</v>
      </c>
      <c r="G14" s="65">
        <v>1.9100594029645572</v>
      </c>
    </row>
    <row r="15" spans="1:7" x14ac:dyDescent="0.25">
      <c r="A15" s="61" t="s">
        <v>48</v>
      </c>
      <c r="B15" s="50">
        <v>511422</v>
      </c>
      <c r="C15" s="62">
        <v>0</v>
      </c>
      <c r="D15" s="62">
        <v>1040</v>
      </c>
      <c r="E15" s="62">
        <v>223152.00000000215</v>
      </c>
      <c r="F15" s="63">
        <v>0.43633633281321915</v>
      </c>
      <c r="G15" s="65">
        <v>11.811178857029226</v>
      </c>
    </row>
    <row r="16" spans="1:7" x14ac:dyDescent="0.25">
      <c r="A16" s="61" t="s">
        <v>49</v>
      </c>
      <c r="B16" s="50">
        <v>511422</v>
      </c>
      <c r="C16" s="62">
        <v>0</v>
      </c>
      <c r="D16" s="62">
        <v>2720</v>
      </c>
      <c r="E16" s="62">
        <v>60070586.666668482</v>
      </c>
      <c r="F16" s="66">
        <v>117.45796361257139</v>
      </c>
      <c r="G16" s="65">
        <v>194.40838730115999</v>
      </c>
    </row>
    <row r="17" spans="1:7" x14ac:dyDescent="0.25">
      <c r="A17" s="61" t="s">
        <v>50</v>
      </c>
      <c r="B17" s="50">
        <v>511422</v>
      </c>
      <c r="C17" s="62">
        <v>0</v>
      </c>
      <c r="D17" s="62">
        <v>27.833333333333332</v>
      </c>
      <c r="E17" s="62">
        <v>82813.433333333538</v>
      </c>
      <c r="F17" s="63">
        <v>0.16192778827139531</v>
      </c>
      <c r="G17" s="64">
        <v>0.50716403132611054</v>
      </c>
    </row>
    <row r="18" spans="1:7" ht="24" x14ac:dyDescent="0.25">
      <c r="A18" s="61" t="s">
        <v>51</v>
      </c>
      <c r="B18" s="50">
        <v>511422</v>
      </c>
      <c r="C18" s="62">
        <v>0</v>
      </c>
      <c r="D18" s="62">
        <v>115.83333333333334</v>
      </c>
      <c r="E18" s="62">
        <v>350235.50000000023</v>
      </c>
      <c r="F18" s="63">
        <v>0.68482681621048813</v>
      </c>
      <c r="G18" s="65">
        <v>2.5007828174568654</v>
      </c>
    </row>
    <row r="19" spans="1:7" ht="24" x14ac:dyDescent="0.25">
      <c r="A19" s="61" t="s">
        <v>52</v>
      </c>
      <c r="B19" s="50">
        <v>511422</v>
      </c>
      <c r="C19" s="62">
        <v>0</v>
      </c>
      <c r="D19" s="62">
        <v>1080</v>
      </c>
      <c r="E19" s="62">
        <v>7821231.9999998603</v>
      </c>
      <c r="F19" s="66">
        <v>15.293108235468674</v>
      </c>
      <c r="G19" s="65">
        <v>46.193649318185074</v>
      </c>
    </row>
    <row r="20" spans="1:7" x14ac:dyDescent="0.25">
      <c r="A20" s="61" t="s">
        <v>53</v>
      </c>
      <c r="B20" s="50">
        <v>511422</v>
      </c>
      <c r="C20" s="62">
        <v>0</v>
      </c>
      <c r="D20" s="62">
        <v>820</v>
      </c>
      <c r="E20" s="62">
        <v>826782.99999999965</v>
      </c>
      <c r="F20" s="66">
        <v>1.6166355768817133</v>
      </c>
      <c r="G20" s="65">
        <v>12.911471629815328</v>
      </c>
    </row>
    <row r="21" spans="1:7" x14ac:dyDescent="0.25">
      <c r="A21" s="61" t="s">
        <v>54</v>
      </c>
      <c r="B21" s="50">
        <v>511422</v>
      </c>
      <c r="C21" s="62">
        <v>0</v>
      </c>
      <c r="D21" s="62">
        <v>2720</v>
      </c>
      <c r="E21" s="62">
        <v>13708992.000000184</v>
      </c>
      <c r="F21" s="66">
        <v>26.805636050072511</v>
      </c>
      <c r="G21" s="65">
        <v>111.80864829921353</v>
      </c>
    </row>
    <row r="22" spans="1:7" x14ac:dyDescent="0.25">
      <c r="A22" s="61" t="s">
        <v>55</v>
      </c>
      <c r="B22" s="50">
        <v>511422</v>
      </c>
      <c r="C22" s="62">
        <v>0</v>
      </c>
      <c r="D22" s="62">
        <v>22.333333333333332</v>
      </c>
      <c r="E22" s="62">
        <v>50918.299999999304</v>
      </c>
      <c r="F22" s="63">
        <v>9.9562201078559981E-2</v>
      </c>
      <c r="G22" s="64">
        <v>0.48730474247166272</v>
      </c>
    </row>
    <row r="23" spans="1:7" ht="24" x14ac:dyDescent="0.25">
      <c r="A23" s="61" t="s">
        <v>56</v>
      </c>
      <c r="B23" s="50">
        <v>511422</v>
      </c>
      <c r="C23" s="62">
        <v>0</v>
      </c>
      <c r="D23" s="62">
        <v>113.33333333333334</v>
      </c>
      <c r="E23" s="62">
        <v>134011.16666666776</v>
      </c>
      <c r="F23" s="63">
        <v>0.26203637439661914</v>
      </c>
      <c r="G23" s="65">
        <v>1.6994011742789195</v>
      </c>
    </row>
    <row r="24" spans="1:7" ht="24" x14ac:dyDescent="0.25">
      <c r="A24" s="61" t="s">
        <v>57</v>
      </c>
      <c r="B24" s="50">
        <v>511422</v>
      </c>
      <c r="C24" s="62">
        <v>0</v>
      </c>
      <c r="D24" s="62">
        <v>960</v>
      </c>
      <c r="E24" s="62">
        <v>3649889.0000000107</v>
      </c>
      <c r="F24" s="66">
        <v>7.1367461704815414</v>
      </c>
      <c r="G24" s="65">
        <v>34.029264644797834</v>
      </c>
    </row>
    <row r="25" spans="1:7" x14ac:dyDescent="0.25">
      <c r="A25" s="61" t="s">
        <v>58</v>
      </c>
      <c r="B25" s="50">
        <v>511422</v>
      </c>
      <c r="C25" s="62">
        <v>0</v>
      </c>
      <c r="D25" s="62">
        <v>900</v>
      </c>
      <c r="E25" s="62">
        <v>699115.99999999476</v>
      </c>
      <c r="F25" s="66">
        <v>1.3670041570366445</v>
      </c>
      <c r="G25" s="65">
        <v>11.75910814599473</v>
      </c>
    </row>
    <row r="26" spans="1:7" x14ac:dyDescent="0.25">
      <c r="A26" s="61" t="s">
        <v>70</v>
      </c>
      <c r="B26" s="50">
        <v>511422</v>
      </c>
      <c r="C26" s="62">
        <v>0</v>
      </c>
      <c r="D26" s="62">
        <v>1</v>
      </c>
      <c r="E26" s="62">
        <v>914.99999999997726</v>
      </c>
      <c r="F26" s="63">
        <v>1.7891291340614546E-3</v>
      </c>
      <c r="G26" s="64">
        <v>4.2260284465360114E-2</v>
      </c>
    </row>
    <row r="27" spans="1:7" x14ac:dyDescent="0.25">
      <c r="A27" s="61" t="s">
        <v>71</v>
      </c>
      <c r="B27" s="50">
        <v>511422</v>
      </c>
      <c r="C27" s="62">
        <v>0</v>
      </c>
      <c r="D27" s="62">
        <v>1</v>
      </c>
      <c r="E27" s="62">
        <v>168989.00000000119</v>
      </c>
      <c r="F27" s="63">
        <v>0.33042966473871127</v>
      </c>
      <c r="G27" s="64">
        <v>0.47036829613558773</v>
      </c>
    </row>
    <row r="28" spans="1:7" x14ac:dyDescent="0.25">
      <c r="A28" s="61" t="s">
        <v>72</v>
      </c>
      <c r="B28" s="50">
        <v>511422</v>
      </c>
      <c r="C28" s="62">
        <v>0</v>
      </c>
      <c r="D28" s="62">
        <v>1</v>
      </c>
      <c r="E28" s="62">
        <v>37641.999999999767</v>
      </c>
      <c r="F28" s="63">
        <v>7.3602621709663973E-2</v>
      </c>
      <c r="G28" s="64">
        <v>0.26112335995132019</v>
      </c>
    </row>
    <row r="29" spans="1:7" x14ac:dyDescent="0.25">
      <c r="A29" s="61" t="s">
        <v>73</v>
      </c>
      <c r="B29" s="50">
        <v>511422</v>
      </c>
      <c r="C29" s="62">
        <v>0</v>
      </c>
      <c r="D29" s="62">
        <v>1</v>
      </c>
      <c r="E29" s="62">
        <v>457.00000000002245</v>
      </c>
      <c r="F29" s="63">
        <v>8.9358690083731721E-4</v>
      </c>
      <c r="G29" s="64">
        <v>2.9879594190508292E-2</v>
      </c>
    </row>
    <row r="30" spans="1:7" x14ac:dyDescent="0.25">
      <c r="A30" s="61" t="s">
        <v>74</v>
      </c>
      <c r="B30" s="50">
        <v>511422</v>
      </c>
      <c r="C30" s="62">
        <v>0</v>
      </c>
      <c r="D30" s="62">
        <v>1</v>
      </c>
      <c r="E30" s="62">
        <v>13216.000000000002</v>
      </c>
      <c r="F30" s="63">
        <v>2.5841672825963689E-2</v>
      </c>
      <c r="G30" s="64">
        <v>0.15866294461820482</v>
      </c>
    </row>
    <row r="31" spans="1:7" x14ac:dyDescent="0.25">
      <c r="A31" s="61" t="s">
        <v>75</v>
      </c>
      <c r="B31" s="50">
        <v>511422</v>
      </c>
      <c r="C31" s="62">
        <v>0</v>
      </c>
      <c r="D31" s="62">
        <v>1</v>
      </c>
      <c r="E31" s="62">
        <v>11614.000000000069</v>
      </c>
      <c r="F31" s="63">
        <v>2.2709230342065984E-2</v>
      </c>
      <c r="G31" s="64">
        <v>0.14897504688749735</v>
      </c>
    </row>
    <row r="32" spans="1:7" x14ac:dyDescent="0.25">
      <c r="A32" s="61" t="s">
        <v>76</v>
      </c>
      <c r="B32" s="50">
        <v>511422</v>
      </c>
      <c r="C32" s="62">
        <v>0</v>
      </c>
      <c r="D32" s="62">
        <v>1</v>
      </c>
      <c r="E32" s="62">
        <v>4721.999999999889</v>
      </c>
      <c r="F32" s="63">
        <v>9.2330795311892904E-3</v>
      </c>
      <c r="G32" s="64">
        <v>9.5644381228814815E-2</v>
      </c>
    </row>
    <row r="33" spans="1:7" x14ac:dyDescent="0.25">
      <c r="A33" s="61" t="s">
        <v>77</v>
      </c>
      <c r="B33" s="50">
        <v>511422</v>
      </c>
      <c r="C33" s="62">
        <v>0</v>
      </c>
      <c r="D33" s="62">
        <v>1</v>
      </c>
      <c r="E33" s="62">
        <v>58681.999999999905</v>
      </c>
      <c r="F33" s="63">
        <v>0.11474281513114395</v>
      </c>
      <c r="G33" s="64">
        <v>0.31871162533537845</v>
      </c>
    </row>
    <row r="34" spans="1:7" x14ac:dyDescent="0.25">
      <c r="A34" s="61" t="s">
        <v>78</v>
      </c>
      <c r="B34" s="50">
        <v>511422</v>
      </c>
      <c r="C34" s="62">
        <v>0</v>
      </c>
      <c r="D34" s="62">
        <v>1</v>
      </c>
      <c r="E34" s="62">
        <v>21396.999999999811</v>
      </c>
      <c r="F34" s="63">
        <v>4.1838247083621376E-2</v>
      </c>
      <c r="G34" s="64">
        <v>0.200219595818526</v>
      </c>
    </row>
    <row r="35" spans="1:7" x14ac:dyDescent="0.25">
      <c r="A35" s="61" t="s">
        <v>79</v>
      </c>
      <c r="B35" s="50">
        <v>511422</v>
      </c>
      <c r="C35" s="62">
        <v>0</v>
      </c>
      <c r="D35" s="62">
        <v>1</v>
      </c>
      <c r="E35" s="62">
        <v>20200.999999999891</v>
      </c>
      <c r="F35" s="63">
        <v>3.9499669548826388E-2</v>
      </c>
      <c r="G35" s="64">
        <v>0.19478069678161389</v>
      </c>
    </row>
    <row r="36" spans="1:7" x14ac:dyDescent="0.25">
      <c r="A36" s="61" t="s">
        <v>80</v>
      </c>
      <c r="B36" s="50">
        <v>511422</v>
      </c>
      <c r="C36" s="62">
        <v>0</v>
      </c>
      <c r="D36" s="62">
        <v>1</v>
      </c>
      <c r="E36" s="62">
        <v>89140.999999998603</v>
      </c>
      <c r="F36" s="63">
        <v>0.17430028430532632</v>
      </c>
      <c r="G36" s="64">
        <v>0.37936786449013332</v>
      </c>
    </row>
    <row r="37" spans="1:7" x14ac:dyDescent="0.25">
      <c r="A37" s="61" t="s">
        <v>81</v>
      </c>
      <c r="B37" s="50">
        <v>511422</v>
      </c>
      <c r="C37" s="62">
        <v>0</v>
      </c>
      <c r="D37" s="62">
        <v>1</v>
      </c>
      <c r="E37" s="62">
        <v>43092.999999999753</v>
      </c>
      <c r="F37" s="63">
        <v>8.4261138550941792E-2</v>
      </c>
      <c r="G37" s="64">
        <v>0.27777931880744605</v>
      </c>
    </row>
    <row r="38" spans="1:7" x14ac:dyDescent="0.25">
      <c r="A38" s="61" t="s">
        <v>82</v>
      </c>
      <c r="B38" s="50">
        <v>511422</v>
      </c>
      <c r="C38" s="62">
        <v>0</v>
      </c>
      <c r="D38" s="62">
        <v>1</v>
      </c>
      <c r="E38" s="62">
        <v>8001.000000000302</v>
      </c>
      <c r="F38" s="63">
        <v>1.5644614428007207E-2</v>
      </c>
      <c r="G38" s="64">
        <v>0.12409629559060445</v>
      </c>
    </row>
    <row r="39" spans="1:7" x14ac:dyDescent="0.25">
      <c r="A39" s="61" t="s">
        <v>83</v>
      </c>
      <c r="B39" s="50">
        <v>511422</v>
      </c>
      <c r="C39" s="62">
        <v>0</v>
      </c>
      <c r="D39" s="62">
        <v>1</v>
      </c>
      <c r="E39" s="62">
        <v>101218.99999999744</v>
      </c>
      <c r="F39" s="63">
        <v>0.19791678887493586</v>
      </c>
      <c r="G39" s="64">
        <v>0.39842947174833243</v>
      </c>
    </row>
    <row r="40" spans="1:7" x14ac:dyDescent="0.25">
      <c r="A40" s="61" t="s">
        <v>84</v>
      </c>
      <c r="B40" s="50">
        <v>511422</v>
      </c>
      <c r="C40" s="62">
        <v>0</v>
      </c>
      <c r="D40" s="62">
        <v>1</v>
      </c>
      <c r="E40" s="62">
        <v>47345.999999999367</v>
      </c>
      <c r="F40" s="63">
        <v>9.2577167192649842E-2</v>
      </c>
      <c r="G40" s="64">
        <v>0.28983926505643076</v>
      </c>
    </row>
    <row r="41" spans="1:7" ht="15.75" thickBot="1" x14ac:dyDescent="0.3">
      <c r="A41" s="67" t="s">
        <v>42</v>
      </c>
      <c r="B41" s="54">
        <v>511422</v>
      </c>
      <c r="C41" s="68"/>
      <c r="D41" s="68"/>
      <c r="E41" s="68"/>
      <c r="F41" s="68"/>
      <c r="G41" s="56"/>
    </row>
  </sheetData>
  <mergeCells count="5">
    <mergeCell ref="A1:F1"/>
    <mergeCell ref="A2:B2"/>
    <mergeCell ref="A3:A6"/>
    <mergeCell ref="A9:G9"/>
    <mergeCell ref="A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Current</vt:lpstr>
      <vt:lpstr>SCENARIO 1</vt:lpstr>
      <vt:lpstr>Comparison</vt:lpstr>
      <vt:lpstr>SCENARIO 2</vt:lpstr>
      <vt:lpstr>SCENARIO 3</vt:lpstr>
      <vt:lpstr>SCENARIO 4</vt:lpstr>
      <vt:lpstr>Sheet2</vt:lpstr>
      <vt:lpstr>Sheet3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cuse</dc:creator>
  <cp:lastModifiedBy>cuse</cp:lastModifiedBy>
  <dcterms:created xsi:type="dcterms:W3CDTF">2019-09-08T13:40:21Z</dcterms:created>
  <dcterms:modified xsi:type="dcterms:W3CDTF">2019-09-17T13:22:31Z</dcterms:modified>
</cp:coreProperties>
</file>